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80" windowHeight="7080" activeTab="1"/>
  </bookViews>
  <sheets>
    <sheet name="Расчет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<sst xmlns="http://schemas.openxmlformats.org/spreadsheetml/2006/main" count="480" uniqueCount="168">
  <si>
    <t>км</t>
  </si>
  <si>
    <t>л</t>
  </si>
  <si>
    <t>руб</t>
  </si>
  <si>
    <t>КИП</t>
  </si>
  <si>
    <t>%</t>
  </si>
  <si>
    <t>КТГ</t>
  </si>
  <si>
    <t>Накладные расходы</t>
  </si>
  <si>
    <t>Условия эксплуатации</t>
  </si>
  <si>
    <t>Затраты на подвижной состав</t>
  </si>
  <si>
    <t>Затраты на ТО Ремонт</t>
  </si>
  <si>
    <t>Налоги</t>
  </si>
  <si>
    <t>Коэффициент сменности</t>
  </si>
  <si>
    <t>Тягач</t>
  </si>
  <si>
    <t>Кол-во ходовых шин тягач</t>
  </si>
  <si>
    <t>Кол-во ходовых шин п/п</t>
  </si>
  <si>
    <t>Кол-во трансмиссионного масла</t>
  </si>
  <si>
    <t>Кол-во моторного масла тягач</t>
  </si>
  <si>
    <t>Кол-во моторного масла реф</t>
  </si>
  <si>
    <t>Пробег в месяц</t>
  </si>
  <si>
    <t>Пробег в год</t>
  </si>
  <si>
    <t>Кол-во дней в году</t>
  </si>
  <si>
    <t>Кол-во дней в наряде в месяц</t>
  </si>
  <si>
    <t>Кол-во дней в наряде в год</t>
  </si>
  <si>
    <t>Кол-во консистентной смазки тягач</t>
  </si>
  <si>
    <t>Кол-во консистентной смазки п\п</t>
  </si>
  <si>
    <t>Стоимость  моторного масла</t>
  </si>
  <si>
    <t>Стоимость трансмисионного масла</t>
  </si>
  <si>
    <t>Стоимость смазки</t>
  </si>
  <si>
    <t>Стоимость т/фильтра тягач</t>
  </si>
  <si>
    <t>Стоимость т/фильтра реф</t>
  </si>
  <si>
    <t>Переодичность ТО-2 реф</t>
  </si>
  <si>
    <t>Переодичность СО а/п</t>
  </si>
  <si>
    <t>Затраты на АКБ Резину</t>
  </si>
  <si>
    <t>Затраты на ремонт ходовой</t>
  </si>
  <si>
    <t>год</t>
  </si>
  <si>
    <t>Стоимость в/фильтра тягач</t>
  </si>
  <si>
    <t>Стоимость в/фильтра реф</t>
  </si>
  <si>
    <t>Стоимость м/фильтра тягач</t>
  </si>
  <si>
    <t>Стоимость м/фильтра реф</t>
  </si>
  <si>
    <t>Работа по ТО-2</t>
  </si>
  <si>
    <t>Количество осей тягач</t>
  </si>
  <si>
    <t>Количество осей п/п</t>
  </si>
  <si>
    <t>Кол-во АКБ тягач</t>
  </si>
  <si>
    <t>Кол-во АКБ реф</t>
  </si>
  <si>
    <t>Стоимость АКБ тягач</t>
  </si>
  <si>
    <t>Стоимость АКБ реф</t>
  </si>
  <si>
    <t>Стоимость шины тягач</t>
  </si>
  <si>
    <t>Стоимость  шины п/п</t>
  </si>
  <si>
    <t>Полуприцеп рефрижиратор</t>
  </si>
  <si>
    <t>руб/л</t>
  </si>
  <si>
    <t>руб/кг</t>
  </si>
  <si>
    <t>Кол-во м/фильтров  реф</t>
  </si>
  <si>
    <t>Кол-во м /фильтров  тягач</t>
  </si>
  <si>
    <t>Кол-во т/фильтров  тягач</t>
  </si>
  <si>
    <t>Кол-во т/фильтров  реф</t>
  </si>
  <si>
    <t>Кол-во в/фильтров  тягач</t>
  </si>
  <si>
    <t>Кол-во в/фильтров  реф</t>
  </si>
  <si>
    <t>шт.</t>
  </si>
  <si>
    <t>кг</t>
  </si>
  <si>
    <t>Затраты на 1 ось з/ч</t>
  </si>
  <si>
    <t>Затраты на 1 ось работа</t>
  </si>
  <si>
    <t>Переодичность ремонта</t>
  </si>
  <si>
    <t>ед</t>
  </si>
  <si>
    <t>шт</t>
  </si>
  <si>
    <t>З/П Водители</t>
  </si>
  <si>
    <t>Прибыль</t>
  </si>
  <si>
    <t>Оклад</t>
  </si>
  <si>
    <t>Премия</t>
  </si>
  <si>
    <t>руб/месяц</t>
  </si>
  <si>
    <t>руб/км</t>
  </si>
  <si>
    <t xml:space="preserve">Транспортный </t>
  </si>
  <si>
    <t>Экологический сбор</t>
  </si>
  <si>
    <t>Дорожный сбор</t>
  </si>
  <si>
    <t>Налог на иимущество</t>
  </si>
  <si>
    <t>Срок эксплуатации</t>
  </si>
  <si>
    <t>Норма долива масла</t>
  </si>
  <si>
    <t>Норма расхода топлива</t>
  </si>
  <si>
    <t>Санпаспорт/дизинфекция</t>
  </si>
  <si>
    <t>Путевые документы</t>
  </si>
  <si>
    <t>Кол-во о/ж</t>
  </si>
  <si>
    <t>Норма долива о/ж</t>
  </si>
  <si>
    <t>Пробег до замены шин п/п</t>
  </si>
  <si>
    <t>З/П офис</t>
  </si>
  <si>
    <t>З/П гараж</t>
  </si>
  <si>
    <t>Расчетное кол-во а/м</t>
  </si>
  <si>
    <t>Стоянка</t>
  </si>
  <si>
    <t>Офис</t>
  </si>
  <si>
    <t>Расходные материалы</t>
  </si>
  <si>
    <t>Производственные помещения</t>
  </si>
  <si>
    <t>Инструмент</t>
  </si>
  <si>
    <t>Оргтехника</t>
  </si>
  <si>
    <t>Связь</t>
  </si>
  <si>
    <t>дни</t>
  </si>
  <si>
    <t>Кол-во ездок в месяц</t>
  </si>
  <si>
    <t>Ставка за км пробега</t>
  </si>
  <si>
    <t>Среднетехническая скорость</t>
  </si>
  <si>
    <t>км/ч</t>
  </si>
  <si>
    <t>Время в наряде</t>
  </si>
  <si>
    <t>ч</t>
  </si>
  <si>
    <t>Норма пробега в сутки</t>
  </si>
  <si>
    <t>КЗОТ РФ,ЕСТР</t>
  </si>
  <si>
    <t>ПДД,КЗОТ,ЕСТР</t>
  </si>
  <si>
    <t>ЕВРО</t>
  </si>
  <si>
    <t>лет</t>
  </si>
  <si>
    <t>Аммортизация в год</t>
  </si>
  <si>
    <t xml:space="preserve">Аммортизация </t>
  </si>
  <si>
    <t>евро/км</t>
  </si>
  <si>
    <t>Курс Евро</t>
  </si>
  <si>
    <t>руб/евро</t>
  </si>
  <si>
    <t xml:space="preserve">Итого Аммортизация </t>
  </si>
  <si>
    <t>Итого Затраты на ТО Ремонт</t>
  </si>
  <si>
    <t>Итого Затраты на ремонт ходовой</t>
  </si>
  <si>
    <t>Итого Затраты на АКБ Резину</t>
  </si>
  <si>
    <t>Пробег до замены шин тягача</t>
  </si>
  <si>
    <t>Эксплутационные затраты</t>
  </si>
  <si>
    <t>Итого Эксплутационные затраты</t>
  </si>
  <si>
    <t>Итого З/П Водители</t>
  </si>
  <si>
    <t>Итого Налоги</t>
  </si>
  <si>
    <t>Итого Накладные расходы</t>
  </si>
  <si>
    <t>ИТОГО Себестоимость км</t>
  </si>
  <si>
    <t>Затраты на ТО Ремонт тягач</t>
  </si>
  <si>
    <t>Затраты на ТО Ремонт п/п</t>
  </si>
  <si>
    <t>Затраты на ремонт ходовой тягач</t>
  </si>
  <si>
    <t>Затраты на ремонт ходовой п/п</t>
  </si>
  <si>
    <t>Затраты на АКБ Резину тягач</t>
  </si>
  <si>
    <t>Затраты на АКБ Резину п/п</t>
  </si>
  <si>
    <t>руб/год</t>
  </si>
  <si>
    <t>Техосмотр тягач</t>
  </si>
  <si>
    <t>Техосмотр п/п</t>
  </si>
  <si>
    <t>ОСАГО тягач</t>
  </si>
  <si>
    <t>ОСАГО п/п</t>
  </si>
  <si>
    <t>руб/сутки</t>
  </si>
  <si>
    <t>руб/рейс</t>
  </si>
  <si>
    <t>Цена топлива</t>
  </si>
  <si>
    <t>Расход топлива</t>
  </si>
  <si>
    <t>л/100 км</t>
  </si>
  <si>
    <t>Переодичность ТО-2 тягач</t>
  </si>
  <si>
    <t>Расход топлива реф</t>
  </si>
  <si>
    <t>Норма расхода топлива реф</t>
  </si>
  <si>
    <t>л/час</t>
  </si>
  <si>
    <t>Стоимость о/ж</t>
  </si>
  <si>
    <t>руб/л.с</t>
  </si>
  <si>
    <t>НДС с доходов</t>
  </si>
  <si>
    <t>НК РФ ч.2</t>
  </si>
  <si>
    <t>НК РФ ч.2 г.28</t>
  </si>
  <si>
    <t xml:space="preserve">НК РФ </t>
  </si>
  <si>
    <t>Ставка за час работы</t>
  </si>
  <si>
    <t>Пробег в сутки</t>
  </si>
  <si>
    <t>Средняя протяжонность кругорейса</t>
  </si>
  <si>
    <t>КАСКО автопоезд</t>
  </si>
  <si>
    <t>при пробеге не более 150 км</t>
  </si>
  <si>
    <t>Налоги на зарплату</t>
  </si>
  <si>
    <t>49%</t>
  </si>
  <si>
    <t>Электроэнергия</t>
  </si>
  <si>
    <t>Командировочные</t>
  </si>
  <si>
    <t>Норма времени в наряде</t>
  </si>
  <si>
    <t xml:space="preserve">Расчет себестоимости 1 км пробега </t>
  </si>
  <si>
    <t>Шиномонтаж</t>
  </si>
  <si>
    <t>руб шт</t>
  </si>
  <si>
    <t>Техосмотр тягач  и полуприцепа</t>
  </si>
  <si>
    <t>Бухгалтерия</t>
  </si>
  <si>
    <t>Навигация и проч.</t>
  </si>
  <si>
    <t>лизин ежемесячно 40% аванс на 3 года</t>
  </si>
  <si>
    <t>Налоги + банк</t>
  </si>
  <si>
    <t>Пробег до капиталки</t>
  </si>
  <si>
    <t>КИТ</t>
  </si>
  <si>
    <t>рефрижератор</t>
  </si>
  <si>
    <t>лизинг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</si>
</sst>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00"/>
    <numFmt numFmtId="167" formatCode="0.000"/>
    <numFmt numFmtId="168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168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68" fontId="1" fillId="34" borderId="10" xfId="0" applyNumberFormat="1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3">
      <selection activeCell="A13" sqref="A1:E16384"/>
    </sheetView>
  </sheetViews>
  <sheetFormatPr defaultColWidth="9.00390625" defaultRowHeight="12.75"/>
  <cols>
    <col min="1" max="1" width="3.875" style="1" customWidth="1"/>
    <col min="2" max="2" width="34.75390625" style="1" customWidth="1"/>
    <col min="3" max="3" width="10.75390625" style="1" customWidth="1"/>
    <col min="4" max="4" width="10.25390625" style="5" customWidth="1"/>
    <col min="5" max="5" width="18.375" style="1" customWidth="1"/>
    <col min="6" max="6" width="17.125" style="1" customWidth="1"/>
    <col min="7" max="16384" width="9.125" style="1" customWidth="1"/>
  </cols>
  <sheetData>
    <row r="1" ht="12.75">
      <c r="B1" s="3" t="s">
        <v>156</v>
      </c>
    </row>
    <row r="3" ht="12.75">
      <c r="B3" s="3" t="s">
        <v>7</v>
      </c>
    </row>
    <row r="4" spans="1:4" ht="12.75">
      <c r="A4" s="1">
        <v>1</v>
      </c>
      <c r="B4" s="1" t="s">
        <v>3</v>
      </c>
      <c r="C4" s="1" t="s">
        <v>4</v>
      </c>
      <c r="D4" s="6">
        <v>100</v>
      </c>
    </row>
    <row r="5" spans="1:4" ht="12.75">
      <c r="A5" s="1">
        <v>2</v>
      </c>
      <c r="B5" s="1" t="s">
        <v>5</v>
      </c>
      <c r="C5" s="1" t="s">
        <v>4</v>
      </c>
      <c r="D5" s="6">
        <v>95</v>
      </c>
    </row>
    <row r="6" spans="1:4" ht="12.75">
      <c r="A6" s="1">
        <v>3</v>
      </c>
      <c r="B6" s="1" t="s">
        <v>20</v>
      </c>
      <c r="C6" s="1" t="s">
        <v>92</v>
      </c>
      <c r="D6" s="6">
        <v>365</v>
      </c>
    </row>
    <row r="7" spans="1:4" ht="12.75">
      <c r="A7" s="1">
        <v>4</v>
      </c>
      <c r="B7" s="1" t="s">
        <v>11</v>
      </c>
      <c r="D7" s="6">
        <v>1.5</v>
      </c>
    </row>
    <row r="8" spans="1:5" ht="12.75">
      <c r="A8" s="1">
        <v>5</v>
      </c>
      <c r="B8" s="2" t="s">
        <v>95</v>
      </c>
      <c r="C8" s="2" t="s">
        <v>96</v>
      </c>
      <c r="D8" s="17">
        <v>45</v>
      </c>
      <c r="E8" s="1" t="s">
        <v>101</v>
      </c>
    </row>
    <row r="9" spans="1:5" ht="12.75">
      <c r="A9" s="1">
        <v>6</v>
      </c>
      <c r="B9" s="1" t="s">
        <v>155</v>
      </c>
      <c r="C9" s="1" t="s">
        <v>98</v>
      </c>
      <c r="D9" s="17">
        <v>8</v>
      </c>
      <c r="E9" s="1" t="s">
        <v>100</v>
      </c>
    </row>
    <row r="10" spans="1:4" ht="12.75">
      <c r="A10" s="1">
        <v>7</v>
      </c>
      <c r="B10" s="1" t="s">
        <v>99</v>
      </c>
      <c r="C10" s="1" t="s">
        <v>0</v>
      </c>
      <c r="D10" s="7">
        <f>D8*D9</f>
        <v>360</v>
      </c>
    </row>
    <row r="11" spans="1:4" ht="12.75">
      <c r="A11" s="1">
        <v>8</v>
      </c>
      <c r="B11" s="1" t="s">
        <v>97</v>
      </c>
      <c r="C11" s="1" t="s">
        <v>98</v>
      </c>
      <c r="D11" s="7">
        <f>D9*D7</f>
        <v>12</v>
      </c>
    </row>
    <row r="12" spans="1:11" ht="12.75">
      <c r="A12" s="1">
        <v>9</v>
      </c>
      <c r="B12" s="1" t="s">
        <v>147</v>
      </c>
      <c r="C12" s="1" t="s">
        <v>0</v>
      </c>
      <c r="D12" s="5">
        <f>D9*D8*D7</f>
        <v>540</v>
      </c>
      <c r="K12" s="2"/>
    </row>
    <row r="13" spans="1:4" ht="12.75">
      <c r="A13" s="1">
        <v>10</v>
      </c>
      <c r="B13" s="1" t="s">
        <v>21</v>
      </c>
      <c r="C13" s="1" t="s">
        <v>92</v>
      </c>
      <c r="D13" s="5">
        <f>D6*D5/100/12</f>
        <v>28.895833333333332</v>
      </c>
    </row>
    <row r="14" spans="1:4" ht="12.75">
      <c r="A14" s="1">
        <v>11</v>
      </c>
      <c r="B14" s="1" t="s">
        <v>22</v>
      </c>
      <c r="C14" s="1" t="s">
        <v>92</v>
      </c>
      <c r="D14" s="5">
        <f>D13*12</f>
        <v>346.75</v>
      </c>
    </row>
    <row r="15" spans="1:4" ht="12.75">
      <c r="A15" s="1">
        <v>12</v>
      </c>
      <c r="B15" s="1" t="s">
        <v>18</v>
      </c>
      <c r="C15" s="1" t="s">
        <v>0</v>
      </c>
      <c r="D15" s="5">
        <f>D12*D13</f>
        <v>15603.75</v>
      </c>
    </row>
    <row r="16" spans="1:4" ht="12.75">
      <c r="A16" s="1">
        <v>13</v>
      </c>
      <c r="B16" s="1" t="s">
        <v>19</v>
      </c>
      <c r="C16" s="1" t="s">
        <v>0</v>
      </c>
      <c r="D16" s="5">
        <f>D15*12</f>
        <v>187245</v>
      </c>
    </row>
    <row r="18" ht="12.75">
      <c r="B18" s="3" t="s">
        <v>8</v>
      </c>
    </row>
    <row r="19" spans="1:4" ht="12.75">
      <c r="A19" s="1">
        <v>14</v>
      </c>
      <c r="B19" s="2" t="s">
        <v>107</v>
      </c>
      <c r="C19" s="1" t="s">
        <v>108</v>
      </c>
      <c r="D19" s="18">
        <v>40.45</v>
      </c>
    </row>
    <row r="20" spans="1:4" ht="12.75">
      <c r="A20" s="1">
        <v>15</v>
      </c>
      <c r="B20" s="2" t="s">
        <v>12</v>
      </c>
      <c r="C20" s="1" t="s">
        <v>102</v>
      </c>
      <c r="D20" s="8">
        <v>78000</v>
      </c>
    </row>
    <row r="21" spans="1:4" ht="12.75">
      <c r="A21" s="1">
        <v>16</v>
      </c>
      <c r="B21" s="2" t="s">
        <v>48</v>
      </c>
      <c r="C21" s="1" t="s">
        <v>102</v>
      </c>
      <c r="D21" s="8">
        <v>71000</v>
      </c>
    </row>
    <row r="22" spans="1:4" ht="12.75">
      <c r="A22" s="1">
        <v>17</v>
      </c>
      <c r="B22" s="2" t="s">
        <v>74</v>
      </c>
      <c r="C22" s="1" t="s">
        <v>103</v>
      </c>
      <c r="D22" s="6">
        <v>10</v>
      </c>
    </row>
    <row r="23" spans="1:4" ht="12.75">
      <c r="A23" s="1">
        <v>18</v>
      </c>
      <c r="B23" s="2" t="s">
        <v>104</v>
      </c>
      <c r="C23" s="1" t="s">
        <v>4</v>
      </c>
      <c r="D23" s="5">
        <f>100/D22</f>
        <v>10</v>
      </c>
    </row>
    <row r="24" spans="1:4" ht="12.75">
      <c r="A24" s="1">
        <v>19</v>
      </c>
      <c r="B24" s="2" t="s">
        <v>104</v>
      </c>
      <c r="C24" s="1" t="s">
        <v>102</v>
      </c>
      <c r="D24" s="5">
        <f>(D20+D21)*D23/100</f>
        <v>14900</v>
      </c>
    </row>
    <row r="25" spans="1:5" ht="13.5" thickBot="1">
      <c r="A25" s="1">
        <v>20</v>
      </c>
      <c r="B25" s="2" t="s">
        <v>105</v>
      </c>
      <c r="C25" s="1" t="s">
        <v>106</v>
      </c>
      <c r="D25" s="9">
        <f>D24/D16</f>
        <v>0.07957488851504713</v>
      </c>
      <c r="E25" s="13"/>
    </row>
    <row r="26" spans="2:4" ht="13.5" thickBot="1">
      <c r="B26" s="3" t="s">
        <v>109</v>
      </c>
      <c r="C26" s="3" t="s">
        <v>69</v>
      </c>
      <c r="D26" s="19">
        <f>D25*D19</f>
        <v>3.2188042404336565</v>
      </c>
    </row>
    <row r="27" ht="12.75">
      <c r="B27" s="2"/>
    </row>
    <row r="28" ht="12.75">
      <c r="B28" s="3" t="s">
        <v>9</v>
      </c>
    </row>
    <row r="29" spans="1:4" ht="12.75">
      <c r="A29" s="1">
        <v>21</v>
      </c>
      <c r="B29" s="2" t="s">
        <v>136</v>
      </c>
      <c r="C29" s="1" t="s">
        <v>0</v>
      </c>
      <c r="D29" s="8">
        <v>10000</v>
      </c>
    </row>
    <row r="30" spans="1:4" ht="12.75">
      <c r="A30" s="1">
        <v>22</v>
      </c>
      <c r="B30" s="2" t="s">
        <v>30</v>
      </c>
      <c r="C30" s="1" t="s">
        <v>0</v>
      </c>
      <c r="D30" s="8">
        <v>30000</v>
      </c>
    </row>
    <row r="31" spans="1:4" ht="12.75">
      <c r="A31" s="1">
        <v>23</v>
      </c>
      <c r="B31" s="2" t="s">
        <v>31</v>
      </c>
      <c r="C31" s="1" t="s">
        <v>34</v>
      </c>
      <c r="D31" s="10">
        <v>1</v>
      </c>
    </row>
    <row r="32" spans="1:4" ht="12.75">
      <c r="A32" s="1">
        <v>24</v>
      </c>
      <c r="B32" s="2" t="s">
        <v>79</v>
      </c>
      <c r="C32" s="1" t="s">
        <v>1</v>
      </c>
      <c r="D32" s="10">
        <v>40</v>
      </c>
    </row>
    <row r="33" spans="1:4" ht="12.75">
      <c r="A33" s="1">
        <v>25</v>
      </c>
      <c r="B33" s="2" t="s">
        <v>16</v>
      </c>
      <c r="C33" s="1" t="s">
        <v>1</v>
      </c>
      <c r="D33" s="10">
        <v>40</v>
      </c>
    </row>
    <row r="34" spans="1:4" ht="12.75">
      <c r="A34" s="1">
        <v>26</v>
      </c>
      <c r="B34" s="2" t="s">
        <v>17</v>
      </c>
      <c r="C34" s="1" t="s">
        <v>1</v>
      </c>
      <c r="D34" s="10">
        <v>15</v>
      </c>
    </row>
    <row r="35" spans="1:4" ht="12.75">
      <c r="A35" s="1">
        <v>27</v>
      </c>
      <c r="B35" s="2" t="s">
        <v>51</v>
      </c>
      <c r="C35" s="1" t="s">
        <v>57</v>
      </c>
      <c r="D35" s="10">
        <v>2</v>
      </c>
    </row>
    <row r="36" spans="1:4" ht="12.75">
      <c r="A36" s="1">
        <v>28</v>
      </c>
      <c r="B36" s="2" t="s">
        <v>52</v>
      </c>
      <c r="C36" s="1" t="s">
        <v>57</v>
      </c>
      <c r="D36" s="10">
        <v>1</v>
      </c>
    </row>
    <row r="37" spans="1:4" ht="12.75">
      <c r="A37" s="1">
        <v>29</v>
      </c>
      <c r="B37" s="2" t="s">
        <v>15</v>
      </c>
      <c r="C37" s="1" t="s">
        <v>1</v>
      </c>
      <c r="D37" s="10">
        <v>20</v>
      </c>
    </row>
    <row r="38" spans="1:4" ht="12.75">
      <c r="A38" s="1">
        <v>30</v>
      </c>
      <c r="B38" s="2" t="s">
        <v>23</v>
      </c>
      <c r="C38" s="1" t="s">
        <v>58</v>
      </c>
      <c r="D38" s="10">
        <v>3</v>
      </c>
    </row>
    <row r="39" spans="1:4" ht="12.75">
      <c r="A39" s="1">
        <v>31</v>
      </c>
      <c r="B39" s="2" t="s">
        <v>24</v>
      </c>
      <c r="C39" s="1" t="s">
        <v>58</v>
      </c>
      <c r="D39" s="10">
        <v>5</v>
      </c>
    </row>
    <row r="40" spans="1:4" ht="12.75">
      <c r="A40" s="1">
        <v>32</v>
      </c>
      <c r="B40" s="2" t="s">
        <v>53</v>
      </c>
      <c r="C40" s="1" t="s">
        <v>57</v>
      </c>
      <c r="D40" s="10">
        <v>2</v>
      </c>
    </row>
    <row r="41" spans="1:4" ht="12.75">
      <c r="A41" s="1">
        <v>33</v>
      </c>
      <c r="B41" s="2" t="s">
        <v>54</v>
      </c>
      <c r="C41" s="1" t="s">
        <v>57</v>
      </c>
      <c r="D41" s="10">
        <v>2</v>
      </c>
    </row>
    <row r="42" spans="1:4" ht="12.75">
      <c r="A42" s="1">
        <v>34</v>
      </c>
      <c r="B42" s="2" t="s">
        <v>55</v>
      </c>
      <c r="C42" s="1" t="s">
        <v>57</v>
      </c>
      <c r="D42" s="10">
        <v>1</v>
      </c>
    </row>
    <row r="43" spans="1:4" ht="12.75">
      <c r="A43" s="1">
        <v>35</v>
      </c>
      <c r="B43" s="2" t="s">
        <v>56</v>
      </c>
      <c r="C43" s="1" t="s">
        <v>57</v>
      </c>
      <c r="D43" s="10">
        <v>1</v>
      </c>
    </row>
    <row r="44" spans="1:6" ht="12.75">
      <c r="A44" s="1">
        <v>36</v>
      </c>
      <c r="B44" s="2" t="s">
        <v>25</v>
      </c>
      <c r="C44" s="1" t="s">
        <v>49</v>
      </c>
      <c r="D44" s="10">
        <v>230</v>
      </c>
      <c r="F44" s="4"/>
    </row>
    <row r="45" spans="1:6" ht="12.75">
      <c r="A45" s="1">
        <v>37</v>
      </c>
      <c r="B45" s="2" t="s">
        <v>26</v>
      </c>
      <c r="C45" s="1" t="s">
        <v>49</v>
      </c>
      <c r="D45" s="10">
        <v>320</v>
      </c>
      <c r="F45" s="4"/>
    </row>
    <row r="46" spans="1:6" ht="12.75">
      <c r="A46" s="1">
        <v>38</v>
      </c>
      <c r="B46" s="2" t="s">
        <v>27</v>
      </c>
      <c r="C46" s="1" t="s">
        <v>50</v>
      </c>
      <c r="D46" s="10">
        <v>100</v>
      </c>
      <c r="F46" s="4"/>
    </row>
    <row r="47" spans="1:6" ht="12.75">
      <c r="A47" s="1">
        <v>39</v>
      </c>
      <c r="B47" s="2" t="s">
        <v>140</v>
      </c>
      <c r="C47" s="1" t="s">
        <v>49</v>
      </c>
      <c r="D47" s="10">
        <v>70</v>
      </c>
      <c r="F47" s="4"/>
    </row>
    <row r="48" spans="1:6" ht="12.75">
      <c r="A48" s="1">
        <v>40</v>
      </c>
      <c r="B48" s="2" t="s">
        <v>28</v>
      </c>
      <c r="C48" s="1" t="s">
        <v>2</v>
      </c>
      <c r="D48" s="10">
        <v>450</v>
      </c>
      <c r="F48" s="4"/>
    </row>
    <row r="49" spans="1:6" ht="12.75">
      <c r="A49" s="1">
        <v>41</v>
      </c>
      <c r="B49" s="2" t="s">
        <v>29</v>
      </c>
      <c r="C49" s="1" t="s">
        <v>2</v>
      </c>
      <c r="D49" s="10">
        <v>900</v>
      </c>
      <c r="F49" s="4"/>
    </row>
    <row r="50" spans="1:6" ht="12.75">
      <c r="A50" s="1">
        <v>42</v>
      </c>
      <c r="B50" s="2" t="s">
        <v>35</v>
      </c>
      <c r="C50" s="1" t="s">
        <v>2</v>
      </c>
      <c r="D50" s="10">
        <v>1500</v>
      </c>
      <c r="F50" s="4"/>
    </row>
    <row r="51" spans="1:6" ht="12.75">
      <c r="A51" s="1">
        <v>43</v>
      </c>
      <c r="B51" s="2" t="s">
        <v>36</v>
      </c>
      <c r="C51" s="1" t="s">
        <v>2</v>
      </c>
      <c r="D51" s="10">
        <v>1750</v>
      </c>
      <c r="F51" s="4"/>
    </row>
    <row r="52" spans="1:6" ht="12.75">
      <c r="A52" s="1">
        <v>44</v>
      </c>
      <c r="B52" s="2" t="s">
        <v>37</v>
      </c>
      <c r="C52" s="1" t="s">
        <v>2</v>
      </c>
      <c r="D52" s="10">
        <v>600</v>
      </c>
      <c r="F52" s="4"/>
    </row>
    <row r="53" spans="1:6" ht="12.75">
      <c r="A53" s="1">
        <v>45</v>
      </c>
      <c r="B53" s="2" t="s">
        <v>38</v>
      </c>
      <c r="C53" s="1" t="s">
        <v>2</v>
      </c>
      <c r="D53" s="10">
        <v>1050</v>
      </c>
      <c r="F53" s="4"/>
    </row>
    <row r="54" spans="1:4" ht="12.75">
      <c r="A54" s="1">
        <v>46</v>
      </c>
      <c r="B54" s="2" t="s">
        <v>39</v>
      </c>
      <c r="C54" s="1" t="s">
        <v>2</v>
      </c>
      <c r="D54" s="10">
        <v>5000</v>
      </c>
    </row>
    <row r="55" spans="1:4" ht="12.75">
      <c r="A55" s="1">
        <v>47</v>
      </c>
      <c r="B55" s="2" t="s">
        <v>120</v>
      </c>
      <c r="C55" s="1" t="s">
        <v>2</v>
      </c>
      <c r="D55" s="10">
        <f>D33*D44+D36*D52+D37*D45+D38*D46+D40*D48+D42*D50/2+D54</f>
        <v>23150</v>
      </c>
    </row>
    <row r="56" spans="1:4" ht="13.5" thickBot="1">
      <c r="A56" s="1">
        <v>48</v>
      </c>
      <c r="B56" s="2" t="s">
        <v>121</v>
      </c>
      <c r="C56" s="1" t="s">
        <v>2</v>
      </c>
      <c r="D56" s="11">
        <f>D34*D44+D35*D53+D39*D46+D41*D49+D43*D51+D54</f>
        <v>14600</v>
      </c>
    </row>
    <row r="57" spans="2:4" ht="13.5" thickBot="1">
      <c r="B57" s="3" t="s">
        <v>110</v>
      </c>
      <c r="C57" s="3" t="s">
        <v>69</v>
      </c>
      <c r="D57" s="14">
        <f>D16/D29*D55/D16+D16/D30*D56/D16</f>
        <v>2.8016666666666667</v>
      </c>
    </row>
    <row r="58" ht="12.75">
      <c r="B58" s="2"/>
    </row>
    <row r="59" ht="12.75">
      <c r="B59" s="3" t="s">
        <v>33</v>
      </c>
    </row>
    <row r="60" spans="1:4" ht="12.75">
      <c r="A60" s="1">
        <v>50</v>
      </c>
      <c r="B60" s="2" t="s">
        <v>61</v>
      </c>
      <c r="C60" s="1" t="s">
        <v>0</v>
      </c>
      <c r="D60" s="8">
        <v>100000</v>
      </c>
    </row>
    <row r="61" spans="1:4" ht="12.75">
      <c r="A61" s="1">
        <v>51</v>
      </c>
      <c r="B61" s="2" t="s">
        <v>40</v>
      </c>
      <c r="C61" s="1" t="s">
        <v>62</v>
      </c>
      <c r="D61" s="10">
        <v>2</v>
      </c>
    </row>
    <row r="62" spans="1:4" ht="12.75">
      <c r="A62" s="1">
        <v>52</v>
      </c>
      <c r="B62" s="2" t="s">
        <v>41</v>
      </c>
      <c r="C62" s="1" t="s">
        <v>62</v>
      </c>
      <c r="D62" s="10">
        <v>3</v>
      </c>
    </row>
    <row r="63" spans="1:4" ht="12.75">
      <c r="A63" s="1">
        <v>53</v>
      </c>
      <c r="B63" s="2" t="s">
        <v>59</v>
      </c>
      <c r="C63" s="1" t="s">
        <v>2</v>
      </c>
      <c r="D63" s="10">
        <v>27000</v>
      </c>
    </row>
    <row r="64" spans="1:4" ht="12.75">
      <c r="A64" s="1">
        <v>54</v>
      </c>
      <c r="B64" s="2" t="s">
        <v>60</v>
      </c>
      <c r="C64" s="1" t="s">
        <v>2</v>
      </c>
      <c r="D64" s="10">
        <v>6000</v>
      </c>
    </row>
    <row r="65" spans="1:4" ht="12.75">
      <c r="A65" s="1">
        <v>55</v>
      </c>
      <c r="B65" s="2" t="s">
        <v>122</v>
      </c>
      <c r="C65" s="1" t="s">
        <v>2</v>
      </c>
      <c r="D65" s="10">
        <f>(D63+D64)*D61</f>
        <v>66000</v>
      </c>
    </row>
    <row r="66" spans="1:4" ht="13.5" thickBot="1">
      <c r="A66" s="1">
        <v>56</v>
      </c>
      <c r="B66" s="2" t="s">
        <v>123</v>
      </c>
      <c r="C66" s="1" t="s">
        <v>2</v>
      </c>
      <c r="D66" s="10">
        <f>(D63+D64)*D62</f>
        <v>99000</v>
      </c>
    </row>
    <row r="67" spans="2:4" ht="13.5" thickBot="1">
      <c r="B67" s="3" t="s">
        <v>111</v>
      </c>
      <c r="C67" s="3" t="s">
        <v>69</v>
      </c>
      <c r="D67" s="14">
        <f>(D65+D66)/D60</f>
        <v>1.65</v>
      </c>
    </row>
    <row r="68" ht="12.75">
      <c r="B68" s="2"/>
    </row>
    <row r="69" ht="12.75">
      <c r="B69" s="3" t="s">
        <v>32</v>
      </c>
    </row>
    <row r="70" spans="1:4" ht="12.75">
      <c r="A70" s="1">
        <v>57</v>
      </c>
      <c r="B70" s="2" t="s">
        <v>42</v>
      </c>
      <c r="C70" s="1" t="s">
        <v>63</v>
      </c>
      <c r="D70" s="10">
        <v>6</v>
      </c>
    </row>
    <row r="71" spans="1:4" ht="12.75">
      <c r="A71" s="1">
        <v>58</v>
      </c>
      <c r="B71" s="2" t="s">
        <v>43</v>
      </c>
      <c r="C71" s="1" t="s">
        <v>63</v>
      </c>
      <c r="D71" s="10">
        <v>3</v>
      </c>
    </row>
    <row r="72" spans="1:4" ht="12.75">
      <c r="A72" s="1">
        <v>59</v>
      </c>
      <c r="B72" s="2" t="s">
        <v>44</v>
      </c>
      <c r="C72" s="1" t="s">
        <v>2</v>
      </c>
      <c r="D72" s="10">
        <v>8800</v>
      </c>
    </row>
    <row r="73" spans="1:4" ht="12.75">
      <c r="A73" s="1">
        <v>60</v>
      </c>
      <c r="B73" s="2" t="s">
        <v>45</v>
      </c>
      <c r="C73" s="1" t="s">
        <v>2</v>
      </c>
      <c r="D73" s="10">
        <v>7500</v>
      </c>
    </row>
    <row r="74" spans="1:4" ht="12.75">
      <c r="A74" s="1">
        <v>61</v>
      </c>
      <c r="B74" s="2" t="s">
        <v>13</v>
      </c>
      <c r="C74" s="1" t="s">
        <v>62</v>
      </c>
      <c r="D74" s="10">
        <v>7</v>
      </c>
    </row>
    <row r="75" spans="1:4" ht="12.75">
      <c r="A75" s="1">
        <v>62</v>
      </c>
      <c r="B75" s="2" t="s">
        <v>14</v>
      </c>
      <c r="C75" s="1" t="s">
        <v>62</v>
      </c>
      <c r="D75" s="10">
        <v>7</v>
      </c>
    </row>
    <row r="76" spans="1:4" ht="12.75">
      <c r="A76" s="1">
        <v>63</v>
      </c>
      <c r="B76" s="2" t="s">
        <v>47</v>
      </c>
      <c r="C76" s="1" t="s">
        <v>2</v>
      </c>
      <c r="D76" s="10">
        <v>16000</v>
      </c>
    </row>
    <row r="77" spans="1:4" ht="12.75">
      <c r="A77" s="1">
        <v>64</v>
      </c>
      <c r="B77" s="2" t="s">
        <v>46</v>
      </c>
      <c r="C77" s="1" t="s">
        <v>2</v>
      </c>
      <c r="D77" s="10">
        <v>16000</v>
      </c>
    </row>
    <row r="78" spans="1:4" ht="12.75">
      <c r="A78" s="1">
        <v>65</v>
      </c>
      <c r="B78" s="2" t="s">
        <v>81</v>
      </c>
      <c r="C78" s="1" t="s">
        <v>0</v>
      </c>
      <c r="D78" s="8">
        <v>100000</v>
      </c>
    </row>
    <row r="79" spans="1:4" ht="12.75">
      <c r="A79" s="1">
        <v>66</v>
      </c>
      <c r="B79" s="2" t="s">
        <v>113</v>
      </c>
      <c r="C79" s="1" t="s">
        <v>0</v>
      </c>
      <c r="D79" s="8">
        <v>100000</v>
      </c>
    </row>
    <row r="80" spans="1:4" ht="12.75">
      <c r="A80" s="1">
        <v>67</v>
      </c>
      <c r="B80" s="2" t="s">
        <v>124</v>
      </c>
      <c r="C80" s="1" t="s">
        <v>2</v>
      </c>
      <c r="D80" s="10">
        <f>D70*D72+D74*D77</f>
        <v>164800</v>
      </c>
    </row>
    <row r="81" spans="1:4" ht="13.5" thickBot="1">
      <c r="A81" s="1">
        <v>68</v>
      </c>
      <c r="B81" s="2" t="s">
        <v>125</v>
      </c>
      <c r="C81" s="1" t="s">
        <v>2</v>
      </c>
      <c r="D81" s="10">
        <f>D71*D73+D75*D76</f>
        <v>134500</v>
      </c>
    </row>
    <row r="82" spans="2:4" ht="13.5" thickBot="1">
      <c r="B82" s="3" t="s">
        <v>112</v>
      </c>
      <c r="C82" s="3" t="s">
        <v>69</v>
      </c>
      <c r="D82" s="14">
        <f>D80/D79+D81/D78</f>
        <v>2.993</v>
      </c>
    </row>
    <row r="83" ht="12.75">
      <c r="B83" s="3"/>
    </row>
    <row r="84" ht="12.75">
      <c r="B84" s="3" t="s">
        <v>114</v>
      </c>
    </row>
    <row r="85" spans="1:4" ht="12.75">
      <c r="A85" s="1">
        <v>69</v>
      </c>
      <c r="B85" s="2" t="s">
        <v>148</v>
      </c>
      <c r="C85" s="1" t="s">
        <v>0</v>
      </c>
      <c r="D85" s="8">
        <v>7000</v>
      </c>
    </row>
    <row r="86" spans="1:4" ht="12.75">
      <c r="A86" s="1">
        <v>70</v>
      </c>
      <c r="B86" s="2" t="s">
        <v>93</v>
      </c>
      <c r="D86" s="12">
        <f>D15/D85</f>
        <v>2.229107142857143</v>
      </c>
    </row>
    <row r="87" spans="1:4" ht="12.75">
      <c r="A87" s="1">
        <v>71</v>
      </c>
      <c r="B87" s="2" t="s">
        <v>76</v>
      </c>
      <c r="C87" s="1" t="s">
        <v>135</v>
      </c>
      <c r="D87" s="8">
        <v>39</v>
      </c>
    </row>
    <row r="88" spans="1:4" ht="12.75">
      <c r="A88" s="1">
        <v>72</v>
      </c>
      <c r="B88" s="2" t="s">
        <v>138</v>
      </c>
      <c r="C88" s="1" t="s">
        <v>139</v>
      </c>
      <c r="D88" s="6">
        <v>5</v>
      </c>
    </row>
    <row r="89" spans="1:4" ht="12.75">
      <c r="A89" s="1">
        <v>73</v>
      </c>
      <c r="B89" s="2" t="s">
        <v>133</v>
      </c>
      <c r="C89" s="1" t="s">
        <v>2</v>
      </c>
      <c r="D89" s="8">
        <v>29</v>
      </c>
    </row>
    <row r="90" spans="1:4" ht="12.75">
      <c r="A90" s="1">
        <v>74</v>
      </c>
      <c r="B90" s="2" t="s">
        <v>134</v>
      </c>
      <c r="C90" s="2" t="s">
        <v>69</v>
      </c>
      <c r="D90" s="21">
        <f>D87/100*D89</f>
        <v>11.31</v>
      </c>
    </row>
    <row r="91" spans="1:4" ht="12.75">
      <c r="A91" s="1">
        <v>75</v>
      </c>
      <c r="B91" s="2" t="s">
        <v>137</v>
      </c>
      <c r="C91" s="2" t="s">
        <v>69</v>
      </c>
      <c r="D91" s="21">
        <f>D88*24*D14*0.3/D16</f>
        <v>0.06666666666666667</v>
      </c>
    </row>
    <row r="92" spans="1:4" ht="12.75">
      <c r="A92" s="1">
        <v>76</v>
      </c>
      <c r="B92" s="2" t="s">
        <v>75</v>
      </c>
      <c r="C92" s="2" t="s">
        <v>69</v>
      </c>
      <c r="D92" s="21">
        <f>0.5/1000*D44</f>
        <v>0.115</v>
      </c>
    </row>
    <row r="93" spans="1:4" ht="12.75">
      <c r="A93" s="1">
        <v>77</v>
      </c>
      <c r="B93" s="2" t="s">
        <v>80</v>
      </c>
      <c r="C93" s="2" t="s">
        <v>69</v>
      </c>
      <c r="D93" s="21">
        <f>0.1/1000*D47</f>
        <v>0.007</v>
      </c>
    </row>
    <row r="94" spans="1:4" ht="12.75">
      <c r="A94" s="1">
        <v>78</v>
      </c>
      <c r="B94" s="2" t="s">
        <v>77</v>
      </c>
      <c r="C94" s="1" t="s">
        <v>126</v>
      </c>
      <c r="D94" s="10">
        <v>4000</v>
      </c>
    </row>
    <row r="95" spans="1:4" ht="12.75">
      <c r="A95" s="1">
        <v>79</v>
      </c>
      <c r="B95" s="2" t="s">
        <v>78</v>
      </c>
      <c r="C95" s="1" t="s">
        <v>132</v>
      </c>
      <c r="D95" s="10">
        <v>10</v>
      </c>
    </row>
    <row r="96" spans="1:4" ht="12.75">
      <c r="A96" s="1">
        <v>80</v>
      </c>
      <c r="B96" s="2" t="s">
        <v>127</v>
      </c>
      <c r="C96" s="1" t="s">
        <v>126</v>
      </c>
      <c r="D96" s="10">
        <v>850</v>
      </c>
    </row>
    <row r="97" spans="1:4" ht="12.75">
      <c r="A97" s="1">
        <v>81</v>
      </c>
      <c r="B97" s="2" t="s">
        <v>128</v>
      </c>
      <c r="C97" s="1" t="s">
        <v>126</v>
      </c>
      <c r="D97" s="10">
        <v>650</v>
      </c>
    </row>
    <row r="98" spans="1:4" ht="12.75">
      <c r="A98" s="1">
        <v>82</v>
      </c>
      <c r="B98" s="2" t="s">
        <v>129</v>
      </c>
      <c r="C98" s="1" t="s">
        <v>126</v>
      </c>
      <c r="D98" s="10">
        <v>9900</v>
      </c>
    </row>
    <row r="99" spans="1:4" ht="12.75">
      <c r="A99" s="1">
        <v>83</v>
      </c>
      <c r="B99" s="2" t="s">
        <v>130</v>
      </c>
      <c r="C99" s="1" t="s">
        <v>126</v>
      </c>
      <c r="D99" s="10">
        <v>1500</v>
      </c>
    </row>
    <row r="100" spans="1:4" ht="12.75">
      <c r="A100" s="1">
        <v>84</v>
      </c>
      <c r="B100" s="1" t="s">
        <v>154</v>
      </c>
      <c r="C100" s="1" t="s">
        <v>131</v>
      </c>
      <c r="D100" s="10">
        <v>300</v>
      </c>
    </row>
    <row r="101" spans="1:4" ht="12.75">
      <c r="A101" s="1">
        <v>85</v>
      </c>
      <c r="B101" s="2" t="s">
        <v>71</v>
      </c>
      <c r="C101" s="1" t="s">
        <v>132</v>
      </c>
      <c r="D101" s="10">
        <v>50</v>
      </c>
    </row>
    <row r="102" spans="1:4" ht="12.75">
      <c r="A102" s="1">
        <v>86</v>
      </c>
      <c r="B102" s="2" t="s">
        <v>72</v>
      </c>
      <c r="C102" s="1" t="s">
        <v>132</v>
      </c>
      <c r="D102" s="10">
        <v>270</v>
      </c>
    </row>
    <row r="103" spans="1:4" ht="13.5" thickBot="1">
      <c r="A103" s="1">
        <v>87</v>
      </c>
      <c r="B103" s="2" t="s">
        <v>149</v>
      </c>
      <c r="C103" s="1" t="s">
        <v>126</v>
      </c>
      <c r="D103" s="10">
        <f>(D20+D21)*D19*0.08/D16</f>
        <v>2.575043392346925</v>
      </c>
    </row>
    <row r="104" spans="2:4" ht="13.5" thickBot="1">
      <c r="B104" s="3" t="s">
        <v>115</v>
      </c>
      <c r="C104" s="3" t="s">
        <v>69</v>
      </c>
      <c r="D104" s="14">
        <f>D90+D94/D16+D95*D86/D15+D96/D16+D97/D16+D98/D16+D99/D16+D100/D12+D101*D86/D15+D102*D86/D15+D92+D93+D103</f>
        <v>14.699997886649653</v>
      </c>
    </row>
    <row r="105" ht="12.75">
      <c r="B105" s="2"/>
    </row>
    <row r="106" ht="12.75">
      <c r="B106" s="3" t="s">
        <v>64</v>
      </c>
    </row>
    <row r="107" spans="1:4" ht="12.75">
      <c r="A107" s="1">
        <v>87</v>
      </c>
      <c r="B107" s="2" t="s">
        <v>66</v>
      </c>
      <c r="C107" s="1" t="s">
        <v>68</v>
      </c>
      <c r="D107" s="5">
        <v>8000</v>
      </c>
    </row>
    <row r="108" spans="1:5" ht="13.5" thickBot="1">
      <c r="A108" s="1">
        <v>88</v>
      </c>
      <c r="B108" s="2" t="s">
        <v>67</v>
      </c>
      <c r="C108" s="1" t="s">
        <v>69</v>
      </c>
      <c r="D108" s="5">
        <v>3</v>
      </c>
      <c r="E108" s="1">
        <f>D108*D15</f>
        <v>46811.25</v>
      </c>
    </row>
    <row r="109" spans="2:4" ht="13.5" thickBot="1">
      <c r="B109" s="3" t="s">
        <v>116</v>
      </c>
      <c r="C109" s="3" t="s">
        <v>69</v>
      </c>
      <c r="D109" s="15">
        <f>D108+D107/D15</f>
        <v>3.5126972682848674</v>
      </c>
    </row>
    <row r="110" ht="12.75">
      <c r="B110" s="2"/>
    </row>
    <row r="111" ht="12.75">
      <c r="B111" s="3" t="s">
        <v>10</v>
      </c>
    </row>
    <row r="112" spans="1:5" ht="12.75">
      <c r="A112" s="1">
        <v>89</v>
      </c>
      <c r="B112" s="2" t="s">
        <v>142</v>
      </c>
      <c r="C112" s="1" t="s">
        <v>4</v>
      </c>
      <c r="D112" s="10">
        <v>18</v>
      </c>
      <c r="E112" s="1" t="s">
        <v>143</v>
      </c>
    </row>
    <row r="113" spans="1:5" ht="13.5" customHeight="1">
      <c r="A113" s="1">
        <v>90</v>
      </c>
      <c r="B113" s="2" t="s">
        <v>70</v>
      </c>
      <c r="C113" s="1" t="s">
        <v>141</v>
      </c>
      <c r="D113" s="10">
        <v>75</v>
      </c>
      <c r="E113" s="1" t="s">
        <v>144</v>
      </c>
    </row>
    <row r="114" spans="1:5" ht="13.5" customHeight="1">
      <c r="A114" s="1">
        <v>91</v>
      </c>
      <c r="B114" s="2" t="s">
        <v>73</v>
      </c>
      <c r="C114" s="1" t="s">
        <v>4</v>
      </c>
      <c r="D114" s="5">
        <v>2.2</v>
      </c>
      <c r="E114" s="1" t="s">
        <v>145</v>
      </c>
    </row>
    <row r="115" spans="1:4" ht="13.5" customHeight="1">
      <c r="A115" s="1">
        <v>92</v>
      </c>
      <c r="B115" s="2" t="s">
        <v>151</v>
      </c>
      <c r="C115" s="1" t="s">
        <v>4</v>
      </c>
      <c r="D115" s="16" t="s">
        <v>152</v>
      </c>
    </row>
    <row r="116" spans="2:4" ht="13.5" customHeight="1" thickBot="1">
      <c r="B116" s="2"/>
      <c r="D116" s="10"/>
    </row>
    <row r="117" spans="2:5" ht="13.5" customHeight="1" thickBot="1">
      <c r="B117" s="3" t="s">
        <v>117</v>
      </c>
      <c r="C117" s="3" t="s">
        <v>69</v>
      </c>
      <c r="D117" s="19">
        <v>2.2</v>
      </c>
      <c r="E117" s="1">
        <f>D108*(0.18+0.022+0.49)</f>
        <v>2.0759999999999996</v>
      </c>
    </row>
    <row r="118" ht="13.5" customHeight="1">
      <c r="B118" s="2"/>
    </row>
    <row r="119" ht="12.75">
      <c r="B119" s="3" t="s">
        <v>6</v>
      </c>
    </row>
    <row r="120" spans="1:4" ht="12.75">
      <c r="A120" s="1">
        <v>93</v>
      </c>
      <c r="B120" s="2" t="s">
        <v>84</v>
      </c>
      <c r="C120" s="1" t="s">
        <v>62</v>
      </c>
      <c r="D120" s="8">
        <v>10</v>
      </c>
    </row>
    <row r="121" spans="1:4" ht="12.75">
      <c r="A121" s="1">
        <v>94</v>
      </c>
      <c r="B121" s="2" t="s">
        <v>82</v>
      </c>
      <c r="C121" s="1" t="s">
        <v>68</v>
      </c>
      <c r="D121" s="10">
        <v>90000</v>
      </c>
    </row>
    <row r="122" spans="1:6" ht="12.75">
      <c r="A122" s="1">
        <v>95</v>
      </c>
      <c r="B122" s="2" t="s">
        <v>83</v>
      </c>
      <c r="C122" s="1" t="s">
        <v>68</v>
      </c>
      <c r="D122" s="10">
        <v>55000</v>
      </c>
      <c r="F122" s="3"/>
    </row>
    <row r="123" spans="1:4" ht="12.75">
      <c r="A123" s="1">
        <v>96</v>
      </c>
      <c r="B123" s="2" t="s">
        <v>85</v>
      </c>
      <c r="C123" s="1" t="s">
        <v>68</v>
      </c>
      <c r="D123" s="10">
        <v>142000</v>
      </c>
    </row>
    <row r="124" spans="1:4" ht="12.75">
      <c r="A124" s="1">
        <v>97</v>
      </c>
      <c r="B124" s="2" t="s">
        <v>86</v>
      </c>
      <c r="C124" s="1" t="s">
        <v>68</v>
      </c>
      <c r="D124" s="10">
        <v>120000</v>
      </c>
    </row>
    <row r="125" spans="1:10" ht="12.75">
      <c r="A125" s="1">
        <v>98</v>
      </c>
      <c r="B125" s="2" t="s">
        <v>88</v>
      </c>
      <c r="C125" s="1" t="s">
        <v>68</v>
      </c>
      <c r="D125" s="10">
        <v>150000</v>
      </c>
      <c r="G125" s="4"/>
      <c r="H125" s="4"/>
      <c r="I125" s="4"/>
      <c r="J125" s="4"/>
    </row>
    <row r="126" spans="1:10" ht="12.75">
      <c r="A126" s="1">
        <v>99</v>
      </c>
      <c r="B126" s="2" t="s">
        <v>87</v>
      </c>
      <c r="C126" s="1" t="s">
        <v>68</v>
      </c>
      <c r="D126" s="10">
        <v>6000</v>
      </c>
      <c r="G126" s="4"/>
      <c r="H126" s="4"/>
      <c r="I126" s="4"/>
      <c r="J126" s="4"/>
    </row>
    <row r="127" spans="1:4" ht="12.75">
      <c r="A127" s="1">
        <v>100</v>
      </c>
      <c r="B127" s="2" t="s">
        <v>89</v>
      </c>
      <c r="C127" s="1" t="s">
        <v>68</v>
      </c>
      <c r="D127" s="10">
        <v>3000</v>
      </c>
    </row>
    <row r="128" spans="1:4" ht="12.75">
      <c r="A128" s="1">
        <v>101</v>
      </c>
      <c r="B128" s="2" t="s">
        <v>90</v>
      </c>
      <c r="C128" s="1" t="s">
        <v>68</v>
      </c>
      <c r="D128" s="10">
        <v>1000</v>
      </c>
    </row>
    <row r="129" spans="1:4" ht="12.75">
      <c r="A129" s="1">
        <v>102</v>
      </c>
      <c r="B129" s="2" t="s">
        <v>91</v>
      </c>
      <c r="C129" s="1" t="s">
        <v>68</v>
      </c>
      <c r="D129" s="10">
        <v>30000</v>
      </c>
    </row>
    <row r="130" spans="1:4" ht="12.75">
      <c r="A130" s="1">
        <v>103</v>
      </c>
      <c r="B130" s="1" t="s">
        <v>153</v>
      </c>
      <c r="C130" s="1" t="s">
        <v>68</v>
      </c>
      <c r="D130" s="10">
        <v>15000</v>
      </c>
    </row>
    <row r="131" spans="1:4" ht="13.5" thickBot="1">
      <c r="A131" s="1">
        <v>104</v>
      </c>
      <c r="B131" s="2" t="s">
        <v>118</v>
      </c>
      <c r="C131" s="1" t="s">
        <v>68</v>
      </c>
      <c r="D131" s="10">
        <f>SUM(D121:D130)</f>
        <v>612000</v>
      </c>
    </row>
    <row r="132" spans="2:4" ht="13.5" thickBot="1">
      <c r="B132" s="3" t="s">
        <v>118</v>
      </c>
      <c r="C132" s="3" t="s">
        <v>69</v>
      </c>
      <c r="D132" s="19">
        <f>SUM(D121:D130)/D120/D15</f>
        <v>3.9221341023792355</v>
      </c>
    </row>
    <row r="133" ht="13.5" thickBot="1">
      <c r="B133" s="2"/>
    </row>
    <row r="134" spans="2:4" ht="13.5" thickBot="1">
      <c r="B134" s="3" t="s">
        <v>119</v>
      </c>
      <c r="D134" s="19">
        <f>(D132+D117+D109+D104+D90+D82+D67+D57+D26+D91)*100/D4</f>
        <v>46.374966831080755</v>
      </c>
    </row>
    <row r="135" ht="12.75">
      <c r="B135" s="2"/>
    </row>
    <row r="136" spans="2:4" ht="12.75">
      <c r="B136" s="3" t="s">
        <v>65</v>
      </c>
      <c r="C136" s="3" t="s">
        <v>4</v>
      </c>
      <c r="D136" s="6">
        <v>5</v>
      </c>
    </row>
    <row r="137" ht="13.5" thickBot="1"/>
    <row r="138" spans="2:4" ht="13.5" thickBot="1">
      <c r="B138" s="3" t="s">
        <v>94</v>
      </c>
      <c r="C138" s="1" t="s">
        <v>2</v>
      </c>
      <c r="D138" s="20">
        <f>D134+D134*D136/100</f>
        <v>48.693715172634796</v>
      </c>
    </row>
    <row r="139" spans="2:5" ht="13.5" thickBot="1">
      <c r="B139" s="3" t="s">
        <v>146</v>
      </c>
      <c r="C139" s="1" t="s">
        <v>2</v>
      </c>
      <c r="D139" s="20">
        <f>D138*D12/D11/D7</f>
        <v>1460.8114551790438</v>
      </c>
      <c r="E139" s="1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selection activeCell="E135" sqref="E135"/>
    </sheetView>
  </sheetViews>
  <sheetFormatPr defaultColWidth="9.00390625" defaultRowHeight="12.75"/>
  <cols>
    <col min="1" max="1" width="3.875" style="1" customWidth="1"/>
    <col min="2" max="2" width="34.75390625" style="1" customWidth="1"/>
    <col min="3" max="3" width="10.75390625" style="1" customWidth="1"/>
    <col min="4" max="4" width="16.25390625" style="5" customWidth="1"/>
    <col min="5" max="5" width="18.375" style="1" customWidth="1"/>
  </cols>
  <sheetData>
    <row r="1" ht="12.75">
      <c r="B1" s="3" t="s">
        <v>156</v>
      </c>
    </row>
    <row r="3" ht="12.75">
      <c r="B3" s="3" t="s">
        <v>7</v>
      </c>
    </row>
    <row r="4" spans="1:4" ht="12.75">
      <c r="A4" s="1">
        <v>1</v>
      </c>
      <c r="B4" s="1" t="s">
        <v>3</v>
      </c>
      <c r="C4" s="1" t="s">
        <v>4</v>
      </c>
      <c r="D4" s="6">
        <v>100</v>
      </c>
    </row>
    <row r="5" spans="1:4" ht="12.75">
      <c r="A5" s="1">
        <v>2</v>
      </c>
      <c r="B5" s="1" t="s">
        <v>165</v>
      </c>
      <c r="C5" s="1" t="s">
        <v>4</v>
      </c>
      <c r="D5" s="6">
        <v>95</v>
      </c>
    </row>
    <row r="6" spans="1:4" ht="12.75">
      <c r="A6" s="1">
        <v>3</v>
      </c>
      <c r="B6" s="1" t="s">
        <v>20</v>
      </c>
      <c r="C6" s="1" t="s">
        <v>92</v>
      </c>
      <c r="D6" s="6">
        <v>365</v>
      </c>
    </row>
    <row r="7" spans="1:4" ht="12.75">
      <c r="A7" s="1">
        <v>4</v>
      </c>
      <c r="B7" s="1" t="s">
        <v>11</v>
      </c>
      <c r="D7" s="6">
        <v>1.5</v>
      </c>
    </row>
    <row r="8" spans="1:4" ht="12.75">
      <c r="A8" s="1">
        <v>5</v>
      </c>
      <c r="B8" s="2" t="s">
        <v>95</v>
      </c>
      <c r="C8" s="2" t="s">
        <v>96</v>
      </c>
      <c r="D8" s="17">
        <v>45</v>
      </c>
    </row>
    <row r="9" spans="1:4" ht="12.75">
      <c r="A9" s="1">
        <v>6</v>
      </c>
      <c r="B9" s="1" t="s">
        <v>155</v>
      </c>
      <c r="C9" s="1" t="s">
        <v>98</v>
      </c>
      <c r="D9" s="17">
        <v>8</v>
      </c>
    </row>
    <row r="10" spans="1:4" ht="12.75">
      <c r="A10" s="1">
        <v>7</v>
      </c>
      <c r="B10" s="1" t="s">
        <v>99</v>
      </c>
      <c r="C10" s="1" t="s">
        <v>0</v>
      </c>
      <c r="D10" s="7">
        <f>D8*D9</f>
        <v>360</v>
      </c>
    </row>
    <row r="11" spans="1:4" ht="12.75">
      <c r="A11" s="1">
        <v>8</v>
      </c>
      <c r="B11" s="1" t="s">
        <v>97</v>
      </c>
      <c r="C11" s="1" t="s">
        <v>98</v>
      </c>
      <c r="D11" s="7">
        <f>D9*D7</f>
        <v>12</v>
      </c>
    </row>
    <row r="12" spans="1:4" ht="12.75">
      <c r="A12" s="1">
        <v>9</v>
      </c>
      <c r="B12" s="1" t="s">
        <v>147</v>
      </c>
      <c r="C12" s="1" t="s">
        <v>0</v>
      </c>
      <c r="D12" s="5">
        <f>D9*D8*D7</f>
        <v>540</v>
      </c>
    </row>
    <row r="13" spans="1:4" ht="12.75">
      <c r="A13" s="1">
        <v>10</v>
      </c>
      <c r="B13" s="1" t="s">
        <v>21</v>
      </c>
      <c r="C13" s="1" t="s">
        <v>92</v>
      </c>
      <c r="D13" s="5">
        <f>D6*D5/100/12</f>
        <v>28.895833333333332</v>
      </c>
    </row>
    <row r="14" spans="1:4" ht="12.75">
      <c r="A14" s="1">
        <v>11</v>
      </c>
      <c r="B14" s="1" t="s">
        <v>22</v>
      </c>
      <c r="C14" s="1" t="s">
        <v>92</v>
      </c>
      <c r="D14" s="5">
        <f>D13*12</f>
        <v>346.75</v>
      </c>
    </row>
    <row r="15" spans="1:4" ht="12.75">
      <c r="A15" s="1">
        <v>12</v>
      </c>
      <c r="B15" s="1" t="s">
        <v>18</v>
      </c>
      <c r="C15" s="1" t="s">
        <v>0</v>
      </c>
      <c r="D15" s="5">
        <f>D12*D13</f>
        <v>15603.75</v>
      </c>
    </row>
    <row r="16" spans="1:4" ht="12.75">
      <c r="A16" s="1">
        <v>13</v>
      </c>
      <c r="B16" s="1" t="s">
        <v>19</v>
      </c>
      <c r="C16" s="1" t="s">
        <v>0</v>
      </c>
      <c r="D16" s="5">
        <f>D15*12</f>
        <v>187245</v>
      </c>
    </row>
    <row r="17" spans="2:4" ht="12.75">
      <c r="B17" s="1" t="s">
        <v>164</v>
      </c>
      <c r="C17" s="1" t="s">
        <v>0</v>
      </c>
      <c r="D17" s="5">
        <v>1000000</v>
      </c>
    </row>
    <row r="19" ht="12.75">
      <c r="B19" s="3" t="s">
        <v>8</v>
      </c>
    </row>
    <row r="20" spans="1:4" ht="12.75">
      <c r="A20" s="1">
        <v>14</v>
      </c>
      <c r="B20" s="2" t="s">
        <v>107</v>
      </c>
      <c r="C20" s="1" t="s">
        <v>108</v>
      </c>
      <c r="D20" s="18">
        <v>40.45</v>
      </c>
    </row>
    <row r="21" spans="1:4" ht="12.75">
      <c r="A21" s="1">
        <v>15</v>
      </c>
      <c r="B21" s="2" t="s">
        <v>12</v>
      </c>
      <c r="C21" s="1" t="s">
        <v>102</v>
      </c>
      <c r="D21" s="8">
        <v>78000</v>
      </c>
    </row>
    <row r="22" spans="1:4" ht="12.75">
      <c r="A22" s="1">
        <v>16</v>
      </c>
      <c r="B22" s="2" t="s">
        <v>48</v>
      </c>
      <c r="C22" s="1" t="s">
        <v>102</v>
      </c>
      <c r="D22" s="8">
        <v>71000</v>
      </c>
    </row>
    <row r="23" spans="1:4" ht="12.75">
      <c r="A23" s="1">
        <v>17</v>
      </c>
      <c r="B23" s="2" t="s">
        <v>74</v>
      </c>
      <c r="C23" s="1" t="s">
        <v>103</v>
      </c>
      <c r="D23" s="6">
        <f>D17/D16</f>
        <v>5.340596544634035</v>
      </c>
    </row>
    <row r="24" spans="1:4" ht="12.75">
      <c r="A24" s="1">
        <v>18</v>
      </c>
      <c r="B24" s="2" t="s">
        <v>104</v>
      </c>
      <c r="C24" s="1" t="s">
        <v>4</v>
      </c>
      <c r="D24" s="5">
        <f>100/D23</f>
        <v>18.724500000000003</v>
      </c>
    </row>
    <row r="25" spans="1:4" ht="12.75">
      <c r="A25" s="1">
        <v>19</v>
      </c>
      <c r="B25" s="2" t="s">
        <v>104</v>
      </c>
      <c r="C25" s="1" t="s">
        <v>102</v>
      </c>
      <c r="D25" s="5">
        <f>(D21+D22)*D24/100</f>
        <v>27899.505000000005</v>
      </c>
    </row>
    <row r="26" spans="1:5" ht="13.5" thickBot="1">
      <c r="A26" s="1">
        <v>20</v>
      </c>
      <c r="B26" s="2" t="s">
        <v>105</v>
      </c>
      <c r="C26" s="1" t="s">
        <v>106</v>
      </c>
      <c r="D26" s="9">
        <f>D25/D16</f>
        <v>0.14900000000000002</v>
      </c>
      <c r="E26" s="13"/>
    </row>
    <row r="27" spans="2:4" ht="13.5" thickBot="1">
      <c r="B27" s="3" t="s">
        <v>109</v>
      </c>
      <c r="C27" s="3" t="s">
        <v>69</v>
      </c>
      <c r="D27" s="19">
        <f>D26*D20</f>
        <v>6.027050000000001</v>
      </c>
    </row>
    <row r="28" ht="12.75">
      <c r="B28" s="2"/>
    </row>
    <row r="29" ht="12.75">
      <c r="B29" s="3" t="s">
        <v>9</v>
      </c>
    </row>
    <row r="30" spans="1:4" ht="12.75">
      <c r="A30" s="1">
        <v>21</v>
      </c>
      <c r="B30" s="2" t="s">
        <v>136</v>
      </c>
      <c r="C30" s="1" t="s">
        <v>0</v>
      </c>
      <c r="D30" s="8">
        <v>15000</v>
      </c>
    </row>
    <row r="31" spans="1:4" ht="12.75">
      <c r="A31" s="1">
        <v>22</v>
      </c>
      <c r="B31" s="2" t="s">
        <v>30</v>
      </c>
      <c r="C31" s="1" t="s">
        <v>0</v>
      </c>
      <c r="D31" s="8">
        <v>20000</v>
      </c>
    </row>
    <row r="32" spans="1:4" ht="12.75">
      <c r="A32" s="1">
        <v>23</v>
      </c>
      <c r="B32" s="2" t="s">
        <v>31</v>
      </c>
      <c r="C32" s="1" t="s">
        <v>34</v>
      </c>
      <c r="D32" s="10">
        <v>1</v>
      </c>
    </row>
    <row r="33" spans="1:4" ht="12.75">
      <c r="A33" s="1">
        <v>24</v>
      </c>
      <c r="B33" s="2" t="s">
        <v>79</v>
      </c>
      <c r="C33" s="1" t="s">
        <v>1</v>
      </c>
      <c r="D33" s="10">
        <v>40</v>
      </c>
    </row>
    <row r="34" spans="1:4" ht="12.75">
      <c r="A34" s="1">
        <v>25</v>
      </c>
      <c r="B34" s="2" t="s">
        <v>16</v>
      </c>
      <c r="C34" s="1" t="s">
        <v>1</v>
      </c>
      <c r="D34" s="10">
        <v>40</v>
      </c>
    </row>
    <row r="35" spans="1:4" ht="12.75">
      <c r="A35" s="1">
        <v>26</v>
      </c>
      <c r="B35" s="2" t="s">
        <v>17</v>
      </c>
      <c r="C35" s="1" t="s">
        <v>1</v>
      </c>
      <c r="D35" s="10">
        <v>15</v>
      </c>
    </row>
    <row r="36" spans="1:4" ht="12.75">
      <c r="A36" s="1">
        <v>27</v>
      </c>
      <c r="B36" s="2" t="s">
        <v>51</v>
      </c>
      <c r="C36" s="1" t="s">
        <v>57</v>
      </c>
      <c r="D36" s="10">
        <v>2</v>
      </c>
    </row>
    <row r="37" spans="1:4" ht="12.75">
      <c r="A37" s="1">
        <v>28</v>
      </c>
      <c r="B37" s="2" t="s">
        <v>52</v>
      </c>
      <c r="C37" s="1" t="s">
        <v>57</v>
      </c>
      <c r="D37" s="10">
        <v>1</v>
      </c>
    </row>
    <row r="38" spans="1:4" ht="12.75">
      <c r="A38" s="1">
        <v>29</v>
      </c>
      <c r="B38" s="2" t="s">
        <v>15</v>
      </c>
      <c r="C38" s="1" t="s">
        <v>1</v>
      </c>
      <c r="D38" s="10">
        <v>20</v>
      </c>
    </row>
    <row r="39" spans="1:4" ht="12.75">
      <c r="A39" s="1">
        <v>30</v>
      </c>
      <c r="B39" s="2" t="s">
        <v>23</v>
      </c>
      <c r="C39" s="1" t="s">
        <v>58</v>
      </c>
      <c r="D39" s="10">
        <v>3</v>
      </c>
    </row>
    <row r="40" spans="1:4" ht="12.75">
      <c r="A40" s="1">
        <v>31</v>
      </c>
      <c r="B40" s="2" t="s">
        <v>24</v>
      </c>
      <c r="C40" s="1" t="s">
        <v>58</v>
      </c>
      <c r="D40" s="10">
        <v>5</v>
      </c>
    </row>
    <row r="41" spans="1:4" ht="12.75">
      <c r="A41" s="1">
        <v>32</v>
      </c>
      <c r="B41" s="2" t="s">
        <v>53</v>
      </c>
      <c r="C41" s="1" t="s">
        <v>57</v>
      </c>
      <c r="D41" s="10">
        <v>2</v>
      </c>
    </row>
    <row r="42" spans="1:4" ht="12.75">
      <c r="A42" s="1">
        <v>33</v>
      </c>
      <c r="B42" s="2" t="s">
        <v>54</v>
      </c>
      <c r="C42" s="1" t="s">
        <v>57</v>
      </c>
      <c r="D42" s="10">
        <v>2</v>
      </c>
    </row>
    <row r="43" spans="1:4" ht="12.75">
      <c r="A43" s="1">
        <v>34</v>
      </c>
      <c r="B43" s="2" t="s">
        <v>55</v>
      </c>
      <c r="C43" s="1" t="s">
        <v>57</v>
      </c>
      <c r="D43" s="10">
        <v>1</v>
      </c>
    </row>
    <row r="44" spans="1:4" ht="12.75">
      <c r="A44" s="1">
        <v>35</v>
      </c>
      <c r="B44" s="2" t="s">
        <v>56</v>
      </c>
      <c r="C44" s="1" t="s">
        <v>57</v>
      </c>
      <c r="D44" s="10">
        <v>1</v>
      </c>
    </row>
    <row r="45" spans="1:4" ht="12.75">
      <c r="A45" s="1">
        <v>36</v>
      </c>
      <c r="B45" s="2" t="s">
        <v>25</v>
      </c>
      <c r="C45" s="1" t="s">
        <v>49</v>
      </c>
      <c r="D45" s="10">
        <v>230</v>
      </c>
    </row>
    <row r="46" spans="1:4" ht="12.75">
      <c r="A46" s="1">
        <v>37</v>
      </c>
      <c r="B46" s="2" t="s">
        <v>26</v>
      </c>
      <c r="C46" s="1" t="s">
        <v>49</v>
      </c>
      <c r="D46" s="10">
        <v>320</v>
      </c>
    </row>
    <row r="47" spans="1:4" ht="12.75">
      <c r="A47" s="1">
        <v>38</v>
      </c>
      <c r="B47" s="2" t="s">
        <v>27</v>
      </c>
      <c r="C47" s="1" t="s">
        <v>50</v>
      </c>
      <c r="D47" s="10">
        <v>100</v>
      </c>
    </row>
    <row r="48" spans="1:4" ht="12.75">
      <c r="A48" s="1">
        <v>39</v>
      </c>
      <c r="B48" s="2" t="s">
        <v>140</v>
      </c>
      <c r="C48" s="1" t="s">
        <v>49</v>
      </c>
      <c r="D48" s="10">
        <v>70</v>
      </c>
    </row>
    <row r="49" spans="1:4" ht="12.75">
      <c r="A49" s="1">
        <v>40</v>
      </c>
      <c r="B49" s="2" t="s">
        <v>28</v>
      </c>
      <c r="C49" s="1" t="s">
        <v>2</v>
      </c>
      <c r="D49" s="10">
        <v>450</v>
      </c>
    </row>
    <row r="50" spans="1:4" ht="12.75">
      <c r="A50" s="1">
        <v>41</v>
      </c>
      <c r="B50" s="2" t="s">
        <v>29</v>
      </c>
      <c r="C50" s="1" t="s">
        <v>2</v>
      </c>
      <c r="D50" s="10">
        <v>900</v>
      </c>
    </row>
    <row r="51" spans="1:4" ht="12.75">
      <c r="A51" s="1">
        <v>42</v>
      </c>
      <c r="B51" s="2" t="s">
        <v>35</v>
      </c>
      <c r="C51" s="1" t="s">
        <v>2</v>
      </c>
      <c r="D51" s="10">
        <v>1500</v>
      </c>
    </row>
    <row r="52" spans="1:4" ht="12.75">
      <c r="A52" s="1">
        <v>43</v>
      </c>
      <c r="B52" s="2" t="s">
        <v>36</v>
      </c>
      <c r="C52" s="1" t="s">
        <v>2</v>
      </c>
      <c r="D52" s="10">
        <v>1750</v>
      </c>
    </row>
    <row r="53" spans="1:4" ht="12.75">
      <c r="A53" s="1">
        <v>44</v>
      </c>
      <c r="B53" s="2" t="s">
        <v>37</v>
      </c>
      <c r="C53" s="1" t="s">
        <v>2</v>
      </c>
      <c r="D53" s="10">
        <v>600</v>
      </c>
    </row>
    <row r="54" spans="1:4" ht="12.75">
      <c r="A54" s="1">
        <v>45</v>
      </c>
      <c r="B54" s="2" t="s">
        <v>38</v>
      </c>
      <c r="C54" s="1" t="s">
        <v>2</v>
      </c>
      <c r="D54" s="10">
        <v>1050</v>
      </c>
    </row>
    <row r="55" spans="1:4" ht="12.75">
      <c r="A55" s="1">
        <v>46</v>
      </c>
      <c r="B55" s="2" t="s">
        <v>39</v>
      </c>
      <c r="C55" s="1" t="s">
        <v>2</v>
      </c>
      <c r="D55" s="10">
        <v>5000</v>
      </c>
    </row>
    <row r="56" spans="1:4" ht="12.75">
      <c r="A56" s="1">
        <v>47</v>
      </c>
      <c r="B56" s="2" t="s">
        <v>120</v>
      </c>
      <c r="C56" s="1" t="s">
        <v>2</v>
      </c>
      <c r="D56" s="10">
        <f>D34*D45+D37*D53+D38*D46+D39*D47+D41*D49+D43*D51/2+D55</f>
        <v>23150</v>
      </c>
    </row>
    <row r="57" spans="1:4" ht="13.5" thickBot="1">
      <c r="A57" s="1">
        <v>48</v>
      </c>
      <c r="B57" s="2" t="s">
        <v>121</v>
      </c>
      <c r="C57" s="1" t="s">
        <v>2</v>
      </c>
      <c r="D57" s="11">
        <f>D35*D45+D36*D54+D40*D47+D42*D50+D44*D52+D55</f>
        <v>14600</v>
      </c>
    </row>
    <row r="58" spans="2:4" ht="13.5" thickBot="1">
      <c r="B58" s="3" t="s">
        <v>110</v>
      </c>
      <c r="C58" s="3" t="s">
        <v>69</v>
      </c>
      <c r="D58" s="14">
        <f>D16/D30*D56/D16+D16/D31*D57/D16</f>
        <v>2.2733333333333334</v>
      </c>
    </row>
    <row r="59" ht="12.75">
      <c r="B59" s="2"/>
    </row>
    <row r="60" ht="12.75">
      <c r="B60" s="3" t="s">
        <v>33</v>
      </c>
    </row>
    <row r="61" spans="1:4" ht="12.75">
      <c r="A61" s="1">
        <v>50</v>
      </c>
      <c r="B61" s="2" t="s">
        <v>61</v>
      </c>
      <c r="C61" s="1" t="s">
        <v>0</v>
      </c>
      <c r="D61" s="8">
        <v>100000</v>
      </c>
    </row>
    <row r="62" spans="1:4" ht="12.75">
      <c r="A62" s="1">
        <v>51</v>
      </c>
      <c r="B62" s="2" t="s">
        <v>40</v>
      </c>
      <c r="C62" s="1" t="s">
        <v>62</v>
      </c>
      <c r="D62" s="10">
        <v>2</v>
      </c>
    </row>
    <row r="63" spans="1:4" ht="12.75">
      <c r="A63" s="1">
        <v>52</v>
      </c>
      <c r="B63" s="2" t="s">
        <v>41</v>
      </c>
      <c r="C63" s="1" t="s">
        <v>62</v>
      </c>
      <c r="D63" s="10">
        <v>3</v>
      </c>
    </row>
    <row r="64" spans="1:4" ht="12.75">
      <c r="A64" s="1">
        <v>53</v>
      </c>
      <c r="B64" s="2" t="s">
        <v>59</v>
      </c>
      <c r="C64" s="1" t="s">
        <v>2</v>
      </c>
      <c r="D64" s="10">
        <v>27000</v>
      </c>
    </row>
    <row r="65" spans="1:4" ht="12.75">
      <c r="A65" s="1">
        <v>54</v>
      </c>
      <c r="B65" s="2" t="s">
        <v>60</v>
      </c>
      <c r="C65" s="1" t="s">
        <v>2</v>
      </c>
      <c r="D65" s="10">
        <v>6000</v>
      </c>
    </row>
    <row r="66" spans="1:4" ht="12.75">
      <c r="A66" s="1">
        <v>55</v>
      </c>
      <c r="B66" s="2" t="s">
        <v>122</v>
      </c>
      <c r="C66" s="1" t="s">
        <v>2</v>
      </c>
      <c r="D66" s="10">
        <f>(D64+D65)*D62</f>
        <v>66000</v>
      </c>
    </row>
    <row r="67" spans="1:4" ht="13.5" thickBot="1">
      <c r="A67" s="1">
        <v>56</v>
      </c>
      <c r="B67" s="2" t="s">
        <v>123</v>
      </c>
      <c r="C67" s="1" t="s">
        <v>2</v>
      </c>
      <c r="D67" s="10">
        <f>(D64+D65)*D63</f>
        <v>99000</v>
      </c>
    </row>
    <row r="68" spans="2:4" ht="13.5" thickBot="1">
      <c r="B68" s="3" t="s">
        <v>111</v>
      </c>
      <c r="C68" s="3" t="s">
        <v>69</v>
      </c>
      <c r="D68" s="14">
        <f>(D66+D67)/D61</f>
        <v>1.65</v>
      </c>
    </row>
    <row r="69" ht="12.75">
      <c r="B69" s="2"/>
    </row>
    <row r="70" ht="12.75">
      <c r="B70" s="3" t="s">
        <v>32</v>
      </c>
    </row>
    <row r="71" spans="1:4" ht="12.75">
      <c r="A71" s="1">
        <v>57</v>
      </c>
      <c r="B71" s="2" t="s">
        <v>42</v>
      </c>
      <c r="C71" s="1" t="s">
        <v>63</v>
      </c>
      <c r="D71" s="10">
        <v>2</v>
      </c>
    </row>
    <row r="72" spans="1:4" ht="12.75">
      <c r="A72" s="1">
        <v>58</v>
      </c>
      <c r="B72" s="2" t="s">
        <v>43</v>
      </c>
      <c r="C72" s="1" t="s">
        <v>63</v>
      </c>
      <c r="D72" s="10">
        <v>1</v>
      </c>
    </row>
    <row r="73" spans="1:4" ht="12.75">
      <c r="A73" s="1">
        <v>59</v>
      </c>
      <c r="B73" s="2" t="s">
        <v>44</v>
      </c>
      <c r="C73" s="1" t="s">
        <v>2</v>
      </c>
      <c r="D73" s="10">
        <v>8800</v>
      </c>
    </row>
    <row r="74" spans="1:4" ht="12.75">
      <c r="A74" s="1">
        <v>60</v>
      </c>
      <c r="B74" s="2" t="s">
        <v>45</v>
      </c>
      <c r="C74" s="1" t="s">
        <v>2</v>
      </c>
      <c r="D74" s="10">
        <v>7500</v>
      </c>
    </row>
    <row r="75" spans="1:4" ht="12.75">
      <c r="A75" s="1">
        <v>61</v>
      </c>
      <c r="B75" s="2" t="s">
        <v>13</v>
      </c>
      <c r="C75" s="1" t="s">
        <v>62</v>
      </c>
      <c r="D75" s="10">
        <v>7</v>
      </c>
    </row>
    <row r="76" spans="1:4" ht="12.75">
      <c r="A76" s="1">
        <v>62</v>
      </c>
      <c r="B76" s="2" t="s">
        <v>14</v>
      </c>
      <c r="C76" s="1" t="s">
        <v>62</v>
      </c>
      <c r="D76" s="10">
        <v>7</v>
      </c>
    </row>
    <row r="77" spans="1:4" ht="12.75">
      <c r="A77" s="1">
        <v>63</v>
      </c>
      <c r="B77" s="2" t="s">
        <v>47</v>
      </c>
      <c r="C77" s="1" t="s">
        <v>2</v>
      </c>
      <c r="D77" s="10">
        <v>16000</v>
      </c>
    </row>
    <row r="78" spans="1:4" ht="12.75">
      <c r="A78" s="1">
        <v>64</v>
      </c>
      <c r="B78" s="2" t="s">
        <v>46</v>
      </c>
      <c r="C78" s="1" t="s">
        <v>2</v>
      </c>
      <c r="D78" s="10">
        <v>16000</v>
      </c>
    </row>
    <row r="79" spans="1:4" ht="12.75">
      <c r="A79" s="1">
        <v>65</v>
      </c>
      <c r="B79" s="2" t="s">
        <v>81</v>
      </c>
      <c r="C79" s="1" t="s">
        <v>0</v>
      </c>
      <c r="D79" s="8">
        <v>100000</v>
      </c>
    </row>
    <row r="80" spans="1:4" ht="12.75">
      <c r="A80" s="1">
        <v>66</v>
      </c>
      <c r="B80" s="2" t="s">
        <v>113</v>
      </c>
      <c r="C80" s="1" t="s">
        <v>0</v>
      </c>
      <c r="D80" s="8">
        <v>100000</v>
      </c>
    </row>
    <row r="81" spans="2:4" ht="12.75">
      <c r="B81" s="22" t="s">
        <v>157</v>
      </c>
      <c r="C81" s="1" t="s">
        <v>158</v>
      </c>
      <c r="D81" s="8">
        <v>4900</v>
      </c>
    </row>
    <row r="82" spans="1:4" ht="12.75">
      <c r="A82" s="1">
        <v>67</v>
      </c>
      <c r="B82" s="2" t="s">
        <v>124</v>
      </c>
      <c r="C82" s="1" t="s">
        <v>2</v>
      </c>
      <c r="D82" s="10">
        <f>D71*D73+D75*D78</f>
        <v>129600</v>
      </c>
    </row>
    <row r="83" spans="1:4" ht="13.5" thickBot="1">
      <c r="A83" s="1">
        <v>68</v>
      </c>
      <c r="B83" s="2" t="s">
        <v>125</v>
      </c>
      <c r="C83" s="1" t="s">
        <v>2</v>
      </c>
      <c r="D83" s="10">
        <f>D72*D74+D76*D77</f>
        <v>119500</v>
      </c>
    </row>
    <row r="84" spans="2:4" ht="13.5" thickBot="1">
      <c r="B84" s="3" t="s">
        <v>112</v>
      </c>
      <c r="C84" s="3" t="s">
        <v>69</v>
      </c>
      <c r="D84" s="14">
        <f>D82/D80+D83/D79+D81/D79</f>
        <v>2.54</v>
      </c>
    </row>
    <row r="85" ht="12.75">
      <c r="B85" s="3"/>
    </row>
    <row r="86" ht="12.75">
      <c r="B86" s="3" t="s">
        <v>114</v>
      </c>
    </row>
    <row r="87" spans="1:4" ht="12.75">
      <c r="A87" s="1">
        <v>69</v>
      </c>
      <c r="B87" s="2" t="s">
        <v>148</v>
      </c>
      <c r="C87" s="1" t="s">
        <v>0</v>
      </c>
      <c r="D87" s="8">
        <v>7000</v>
      </c>
    </row>
    <row r="88" spans="1:4" ht="12.75">
      <c r="A88" s="1">
        <v>70</v>
      </c>
      <c r="B88" s="2" t="s">
        <v>93</v>
      </c>
      <c r="D88" s="12">
        <f>D15/D87</f>
        <v>2.229107142857143</v>
      </c>
    </row>
    <row r="89" spans="1:4" ht="12.75">
      <c r="A89" s="1">
        <v>71</v>
      </c>
      <c r="B89" s="2" t="s">
        <v>76</v>
      </c>
      <c r="C89" s="1" t="s">
        <v>135</v>
      </c>
      <c r="D89" s="8">
        <v>39</v>
      </c>
    </row>
    <row r="90" spans="1:4" ht="12.75">
      <c r="A90" s="1">
        <v>72</v>
      </c>
      <c r="B90" s="2" t="s">
        <v>138</v>
      </c>
      <c r="C90" s="1" t="s">
        <v>139</v>
      </c>
      <c r="D90" s="6">
        <v>5</v>
      </c>
    </row>
    <row r="91" spans="1:4" ht="12.75">
      <c r="A91" s="1">
        <v>73</v>
      </c>
      <c r="B91" s="2" t="s">
        <v>133</v>
      </c>
      <c r="C91" s="1" t="s">
        <v>2</v>
      </c>
      <c r="D91" s="8">
        <v>29</v>
      </c>
    </row>
    <row r="92" spans="1:4" ht="12.75">
      <c r="A92" s="1">
        <v>74</v>
      </c>
      <c r="B92" s="2" t="s">
        <v>134</v>
      </c>
      <c r="C92" s="2" t="s">
        <v>69</v>
      </c>
      <c r="D92" s="21">
        <f>D89/100*D91</f>
        <v>11.31</v>
      </c>
    </row>
    <row r="93" spans="1:4" ht="12.75">
      <c r="A93" s="1">
        <v>75</v>
      </c>
      <c r="B93" s="2" t="s">
        <v>137</v>
      </c>
      <c r="C93" s="2" t="s">
        <v>69</v>
      </c>
      <c r="D93" s="21">
        <f>D90*24*D14*0.3/D16</f>
        <v>0.06666666666666667</v>
      </c>
    </row>
    <row r="94" spans="1:4" ht="12.75">
      <c r="A94" s="1">
        <v>76</v>
      </c>
      <c r="B94" s="2" t="s">
        <v>75</v>
      </c>
      <c r="C94" s="2" t="s">
        <v>69</v>
      </c>
      <c r="D94" s="21">
        <f>0.5/1000*D45</f>
        <v>0.115</v>
      </c>
    </row>
    <row r="95" spans="1:4" ht="12.75">
      <c r="A95" s="1">
        <v>77</v>
      </c>
      <c r="B95" s="2" t="s">
        <v>80</v>
      </c>
      <c r="C95" s="2" t="s">
        <v>69</v>
      </c>
      <c r="D95" s="21">
        <f>0.1/1000*D48</f>
        <v>0.007</v>
      </c>
    </row>
    <row r="96" spans="1:4" ht="12.75">
      <c r="A96" s="1">
        <v>78</v>
      </c>
      <c r="B96" s="2" t="s">
        <v>77</v>
      </c>
      <c r="C96" s="1" t="s">
        <v>126</v>
      </c>
      <c r="D96" s="10">
        <v>4000</v>
      </c>
    </row>
    <row r="97" spans="1:4" ht="12.75">
      <c r="A97" s="1">
        <v>79</v>
      </c>
      <c r="B97" s="2" t="s">
        <v>78</v>
      </c>
      <c r="C97" s="1" t="s">
        <v>132</v>
      </c>
      <c r="D97" s="10">
        <v>10</v>
      </c>
    </row>
    <row r="98" spans="1:4" ht="12.75">
      <c r="A98" s="1">
        <v>80</v>
      </c>
      <c r="B98" s="22" t="s">
        <v>159</v>
      </c>
      <c r="C98" s="1" t="s">
        <v>126</v>
      </c>
      <c r="D98" s="10">
        <v>5000</v>
      </c>
    </row>
    <row r="99" spans="1:4" ht="12.75">
      <c r="A99" s="1">
        <v>81</v>
      </c>
      <c r="B99" s="2"/>
      <c r="C99" s="1" t="s">
        <v>126</v>
      </c>
      <c r="D99" s="10">
        <v>0</v>
      </c>
    </row>
    <row r="100" spans="1:4" ht="12.75">
      <c r="A100" s="1">
        <v>82</v>
      </c>
      <c r="B100" s="2" t="s">
        <v>129</v>
      </c>
      <c r="C100" s="1" t="s">
        <v>126</v>
      </c>
      <c r="D100" s="10">
        <v>9900</v>
      </c>
    </row>
    <row r="101" spans="1:4" ht="12.75">
      <c r="A101" s="1">
        <v>83</v>
      </c>
      <c r="B101" s="2" t="s">
        <v>130</v>
      </c>
      <c r="C101" s="1" t="s">
        <v>126</v>
      </c>
      <c r="D101" s="10">
        <v>1500</v>
      </c>
    </row>
    <row r="102" spans="1:4" ht="12.75">
      <c r="A102" s="1">
        <v>84</v>
      </c>
      <c r="B102" s="1" t="s">
        <v>154</v>
      </c>
      <c r="C102" s="1" t="s">
        <v>131</v>
      </c>
      <c r="D102" s="10">
        <v>500</v>
      </c>
    </row>
    <row r="103" spans="1:4" ht="12.75">
      <c r="A103" s="1">
        <v>85</v>
      </c>
      <c r="B103" s="2" t="s">
        <v>71</v>
      </c>
      <c r="C103" s="1" t="s">
        <v>132</v>
      </c>
      <c r="D103" s="10">
        <v>50</v>
      </c>
    </row>
    <row r="104" spans="1:4" ht="12.75">
      <c r="A104" s="1">
        <v>86</v>
      </c>
      <c r="B104" s="2" t="s">
        <v>72</v>
      </c>
      <c r="C104" s="1" t="s">
        <v>132</v>
      </c>
      <c r="D104" s="10">
        <v>270</v>
      </c>
    </row>
    <row r="105" spans="1:5" ht="13.5" thickBot="1">
      <c r="A105" s="1">
        <v>87</v>
      </c>
      <c r="B105" s="2" t="s">
        <v>149</v>
      </c>
      <c r="C105" s="1" t="s">
        <v>126</v>
      </c>
      <c r="D105" s="10">
        <f>E105*31</f>
        <v>232500</v>
      </c>
      <c r="E105" s="1">
        <v>7500</v>
      </c>
    </row>
    <row r="106" spans="2:4" ht="13.5" thickBot="1">
      <c r="B106" s="3" t="s">
        <v>115</v>
      </c>
      <c r="C106" s="3" t="s">
        <v>69</v>
      </c>
      <c r="D106" s="14">
        <f>D92+D96/D16+D97*D88/D15+D98/D16+D99/D16+D100/D16+D101/D16+D102/D12+D103*D88/D15+D104*D88/D15+D94+D95+D105/D16</f>
        <v>13.755705649206732</v>
      </c>
    </row>
    <row r="107" ht="12.75">
      <c r="B107" s="2"/>
    </row>
    <row r="108" ht="12.75">
      <c r="B108" s="3" t="s">
        <v>64</v>
      </c>
    </row>
    <row r="109" spans="1:4" ht="12.75">
      <c r="A109" s="1">
        <v>87</v>
      </c>
      <c r="B109" s="2" t="s">
        <v>66</v>
      </c>
      <c r="C109" s="1" t="s">
        <v>68</v>
      </c>
      <c r="D109" s="5">
        <v>0</v>
      </c>
    </row>
    <row r="110" spans="1:6" ht="13.5" thickBot="1">
      <c r="A110" s="1">
        <v>88</v>
      </c>
      <c r="B110" s="2" t="s">
        <v>67</v>
      </c>
      <c r="C110" s="1" t="s">
        <v>69</v>
      </c>
      <c r="D110" s="5">
        <v>3</v>
      </c>
      <c r="E110" s="1">
        <f>D110*D15</f>
        <v>46811.25</v>
      </c>
      <c r="F110">
        <f>E110/31</f>
        <v>1510.0403225806451</v>
      </c>
    </row>
    <row r="111" spans="2:4" ht="13.5" thickBot="1">
      <c r="B111" s="3" t="s">
        <v>116</v>
      </c>
      <c r="C111" s="3" t="s">
        <v>69</v>
      </c>
      <c r="D111" s="15">
        <f>D110+D109/D15</f>
        <v>3</v>
      </c>
    </row>
    <row r="112" ht="12.75">
      <c r="B112" s="2"/>
    </row>
    <row r="113" spans="2:6" ht="12.75">
      <c r="B113" s="3" t="s">
        <v>10</v>
      </c>
      <c r="E113" s="1">
        <v>40</v>
      </c>
      <c r="F113">
        <v>20</v>
      </c>
    </row>
    <row r="114" spans="1:7" ht="12.75">
      <c r="A114" s="1">
        <v>89</v>
      </c>
      <c r="B114" s="22" t="s">
        <v>162</v>
      </c>
      <c r="C114" s="25">
        <f>E114</f>
        <v>140685</v>
      </c>
      <c r="D114" s="12">
        <f>C114/D15</f>
        <v>9.016101898582072</v>
      </c>
      <c r="E114" s="1">
        <v>140685</v>
      </c>
      <c r="F114" s="26">
        <v>187967</v>
      </c>
      <c r="G114" t="s">
        <v>167</v>
      </c>
    </row>
    <row r="115" spans="1:4" ht="12.75">
      <c r="A115" s="1">
        <v>92</v>
      </c>
      <c r="B115" s="22" t="s">
        <v>163</v>
      </c>
      <c r="C115" s="23">
        <v>0.11</v>
      </c>
      <c r="D115" s="24">
        <v>5.2</v>
      </c>
    </row>
    <row r="116" spans="2:4" ht="13.5" thickBot="1">
      <c r="B116" s="2"/>
      <c r="D116" s="10"/>
    </row>
    <row r="117" spans="2:5" ht="13.5" thickBot="1">
      <c r="B117" s="3" t="s">
        <v>117</v>
      </c>
      <c r="C117" s="3" t="s">
        <v>69</v>
      </c>
      <c r="D117" s="19">
        <f>D114+D115</f>
        <v>14.216101898582071</v>
      </c>
      <c r="E117" s="1">
        <f>D137*0.11</f>
        <v>6.51175971223464</v>
      </c>
    </row>
    <row r="118" ht="12.75">
      <c r="B118" s="2"/>
    </row>
    <row r="119" ht="12.75">
      <c r="B119" s="3" t="s">
        <v>6</v>
      </c>
    </row>
    <row r="120" spans="1:4" ht="12.75">
      <c r="A120" s="1">
        <v>93</v>
      </c>
      <c r="B120" s="2" t="s">
        <v>84</v>
      </c>
      <c r="C120" s="1" t="s">
        <v>62</v>
      </c>
      <c r="D120" s="8">
        <v>1</v>
      </c>
    </row>
    <row r="121" spans="1:4" ht="12.75">
      <c r="A121" s="1">
        <v>94</v>
      </c>
      <c r="B121" s="22" t="s">
        <v>161</v>
      </c>
      <c r="C121" s="1" t="s">
        <v>68</v>
      </c>
      <c r="D121" s="10">
        <v>300</v>
      </c>
    </row>
    <row r="122" spans="1:4" ht="12.75">
      <c r="A122" s="1">
        <v>95</v>
      </c>
      <c r="B122" s="2" t="s">
        <v>83</v>
      </c>
      <c r="C122" s="1" t="s">
        <v>68</v>
      </c>
      <c r="D122" s="10">
        <v>4500</v>
      </c>
    </row>
    <row r="123" spans="1:4" ht="12.75">
      <c r="A123" s="1">
        <v>96</v>
      </c>
      <c r="B123" s="2" t="s">
        <v>85</v>
      </c>
      <c r="C123" s="1" t="s">
        <v>68</v>
      </c>
      <c r="D123" s="10">
        <v>4500</v>
      </c>
    </row>
    <row r="124" spans="1:4" ht="12.75">
      <c r="A124" s="1">
        <v>97</v>
      </c>
      <c r="B124" s="22" t="s">
        <v>160</v>
      </c>
      <c r="C124" s="1" t="s">
        <v>68</v>
      </c>
      <c r="D124" s="10">
        <v>230</v>
      </c>
    </row>
    <row r="125" spans="1:4" ht="12.75">
      <c r="A125" s="1">
        <v>99</v>
      </c>
      <c r="B125" s="2" t="s">
        <v>87</v>
      </c>
      <c r="C125" s="1" t="s">
        <v>68</v>
      </c>
      <c r="D125" s="10">
        <v>6000</v>
      </c>
    </row>
    <row r="126" spans="1:4" ht="12.75">
      <c r="A126" s="1">
        <v>100</v>
      </c>
      <c r="B126" s="2" t="s">
        <v>89</v>
      </c>
      <c r="C126" s="1" t="s">
        <v>68</v>
      </c>
      <c r="D126" s="10">
        <v>3000</v>
      </c>
    </row>
    <row r="127" spans="1:4" ht="12.75">
      <c r="A127" s="1">
        <v>101</v>
      </c>
      <c r="B127" s="2" t="s">
        <v>90</v>
      </c>
      <c r="C127" s="1" t="s">
        <v>68</v>
      </c>
      <c r="D127" s="10">
        <v>1000</v>
      </c>
    </row>
    <row r="128" spans="1:8" ht="12.75">
      <c r="A128" s="1">
        <v>102</v>
      </c>
      <c r="B128" s="2" t="s">
        <v>91</v>
      </c>
      <c r="C128" s="1" t="s">
        <v>68</v>
      </c>
      <c r="D128" s="10">
        <v>3000</v>
      </c>
      <c r="H128" t="s">
        <v>166</v>
      </c>
    </row>
    <row r="129" spans="1:4" ht="12.75">
      <c r="A129" s="1">
        <v>103</v>
      </c>
      <c r="B129" s="1" t="s">
        <v>153</v>
      </c>
      <c r="C129" s="1" t="s">
        <v>68</v>
      </c>
      <c r="D129" s="10">
        <v>1500</v>
      </c>
    </row>
    <row r="130" spans="1:4" ht="13.5" thickBot="1">
      <c r="A130" s="1">
        <v>104</v>
      </c>
      <c r="B130" s="2" t="s">
        <v>118</v>
      </c>
      <c r="C130" s="1" t="s">
        <v>68</v>
      </c>
      <c r="D130" s="10">
        <f>SUM(D121:D129)</f>
        <v>24030</v>
      </c>
    </row>
    <row r="131" spans="2:4" ht="13.5" thickBot="1">
      <c r="B131" s="3" t="s">
        <v>118</v>
      </c>
      <c r="C131" s="3" t="s">
        <v>69</v>
      </c>
      <c r="D131" s="19">
        <f>SUM(D121:D129)/D120/D15</f>
        <v>1.5400144196106704</v>
      </c>
    </row>
    <row r="132" ht="13.5" thickBot="1">
      <c r="B132" s="2"/>
    </row>
    <row r="133" spans="2:4" ht="13.5" thickBot="1">
      <c r="B133" s="3" t="s">
        <v>119</v>
      </c>
      <c r="D133" s="19">
        <f>(D131+D117+D111+D106+D92+D84+D68+D58+D27+D93)*100/D4</f>
        <v>56.378871967399476</v>
      </c>
    </row>
    <row r="134" ht="12.75">
      <c r="B134" s="2"/>
    </row>
    <row r="135" spans="2:8" ht="12.75">
      <c r="B135" s="3" t="s">
        <v>65</v>
      </c>
      <c r="C135" s="3" t="s">
        <v>4</v>
      </c>
      <c r="D135" s="6">
        <v>5</v>
      </c>
      <c r="E135" s="1">
        <f>D133*D135/100</f>
        <v>2.818943598369974</v>
      </c>
      <c r="F135">
        <f>E135*D17</f>
        <v>2818943.598369974</v>
      </c>
      <c r="G135">
        <f>F135/29</f>
        <v>97204.95166793015</v>
      </c>
      <c r="H135">
        <f>G135/D23</f>
        <v>18201.14117506158</v>
      </c>
    </row>
    <row r="136" ht="13.5" thickBot="1"/>
    <row r="137" spans="2:4" ht="13.5" thickBot="1">
      <c r="B137" s="3" t="s">
        <v>94</v>
      </c>
      <c r="C137" s="1" t="s">
        <v>2</v>
      </c>
      <c r="D137" s="20">
        <f>D133+D133*D135/100</f>
        <v>59.19781556576945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Пинчук Игорь</dc:creator>
  <cp:keywords/>
  <dc:description/>
  <cp:lastModifiedBy>HomeUser</cp:lastModifiedBy>
  <cp:lastPrinted>2010-01-28T07:40:17Z</cp:lastPrinted>
  <dcterms:created xsi:type="dcterms:W3CDTF">2006-02-28T10:15:09Z</dcterms:created>
  <dcterms:modified xsi:type="dcterms:W3CDTF">2012-11-16T18:06:57Z</dcterms:modified>
  <cp:category/>
  <cp:version/>
  <cp:contentType/>
  <cp:contentStatus/>
</cp:coreProperties>
</file>